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0400" windowHeight="8445" tabRatio="499" firstSheet="1" activeTab="1"/>
  </bookViews>
  <sheets>
    <sheet name="cump obj" sheetId="22" state="hidden" r:id="rId1"/>
    <sheet name="PLAN DE ACCION " sheetId="58" r:id="rId2"/>
  </sheets>
  <externalReferences>
    <externalReference r:id="rId3"/>
  </externalReferences>
  <definedNames>
    <definedName name="_xlnm._FilterDatabase" localSheetId="1" hidden="1">'PLAN DE ACCION '!$A$10:$BF$85</definedName>
    <definedName name="ACT">#REF!</definedName>
    <definedName name="_xlnm.Print_Area" localSheetId="1">'PLAN DE ACCION '!$A$1:$AG$85</definedName>
    <definedName name="DEPENDENCIAS">'[1]Base de Datos'!$A$56:$A$136</definedName>
    <definedName name="ESTRATEGIAS">'[1]Base de Datos'!$A$24:$A$40</definedName>
    <definedName name="OBJETIVO_AMBIENTAL">'[1]Base de Datos'!$A$43:$A$53</definedName>
    <definedName name="OBJETIVO_CORPORATIVO">'[1]Base de Datos'!$A$19:$A$22</definedName>
    <definedName name="OBJETIVO_DEL_PROCESO">'[1]Base de Datos'!$I$1:$I$16</definedName>
    <definedName name="PROCESOS">'[1]Base de Datos'!$A$1:$A$16</definedName>
    <definedName name="PROYECTO_DE_INVERSION_ASOCIADO">'[1]Base de Datos'!$I$18:$I$23</definedName>
    <definedName name="_xlnm.Print_Titles" localSheetId="1">'PLAN DE ACCION '!$7:$10</definedName>
    <definedName name="Z_63F2945C_D849_4075_9685_9AB0252B7EC9_.wvu.FilterData" localSheetId="1" hidden="1">'PLAN DE ACCION '!$E$10:$R$85</definedName>
  </definedNames>
  <calcPr calcId="152511"/>
</workbook>
</file>

<file path=xl/calcChain.xml><?xml version="1.0" encoding="utf-8"?>
<calcChain xmlns="http://schemas.openxmlformats.org/spreadsheetml/2006/main">
  <c r="AE26" i="58" l="1"/>
  <c r="AA24" i="58"/>
  <c r="AA23" i="58"/>
  <c r="AD13" i="58"/>
  <c r="AE13" i="58" s="1"/>
  <c r="U43" i="58"/>
  <c r="U44" i="58" l="1"/>
  <c r="U42" i="58"/>
  <c r="U39" i="58"/>
  <c r="U40" i="58"/>
  <c r="U41" i="58"/>
  <c r="U38" i="58"/>
  <c r="U36" i="58"/>
  <c r="AD44" i="58" l="1"/>
  <c r="AE44" i="58" s="1"/>
  <c r="AF44" i="58" s="1"/>
  <c r="AD43" i="58"/>
  <c r="AD42" i="58"/>
  <c r="AD41" i="58"/>
  <c r="AD40" i="58"/>
  <c r="AD39" i="58"/>
  <c r="AD38" i="58"/>
  <c r="AE38" i="58" s="1"/>
  <c r="AF38" i="58" s="1"/>
  <c r="AD37" i="58"/>
  <c r="AE37" i="58" s="1"/>
  <c r="AD36" i="58"/>
  <c r="AE36" i="58" s="1"/>
  <c r="AF36" i="58" s="1"/>
  <c r="AE39" i="58" l="1"/>
  <c r="AF39" i="58" s="1"/>
  <c r="AE43" i="58"/>
  <c r="AF43" i="58" s="1"/>
  <c r="AF37" i="58"/>
  <c r="AE41" i="58"/>
  <c r="AF41" i="58" s="1"/>
  <c r="AE40" i="58"/>
  <c r="AF40" i="58" s="1"/>
  <c r="AE42" i="58"/>
  <c r="AF42" i="58" s="1"/>
  <c r="AB76" i="58"/>
  <c r="AD76" i="58" s="1"/>
  <c r="AE76" i="58" s="1"/>
  <c r="AF76" i="58" s="1"/>
  <c r="AA76" i="58"/>
  <c r="X76" i="58"/>
  <c r="U76" i="58"/>
  <c r="AD75" i="58"/>
  <c r="AE75" i="58" s="1"/>
  <c r="AF75" i="58" s="1"/>
  <c r="AA75" i="58"/>
  <c r="X75" i="58"/>
  <c r="U75" i="58"/>
  <c r="AD74" i="58"/>
  <c r="AE74" i="58" s="1"/>
  <c r="AF74" i="58" s="1"/>
  <c r="AB74" i="58"/>
  <c r="AA74" i="58"/>
  <c r="X74" i="58"/>
  <c r="U74" i="58"/>
  <c r="AD73" i="58"/>
  <c r="AA73" i="58"/>
  <c r="X73" i="58"/>
  <c r="U73" i="58"/>
  <c r="AD72" i="58"/>
  <c r="AE72" i="58" s="1"/>
  <c r="AF72" i="58" s="1"/>
  <c r="AA72" i="58"/>
  <c r="X72" i="58"/>
  <c r="U72" i="58"/>
  <c r="AD71" i="58"/>
  <c r="AE71" i="58" s="1"/>
  <c r="AF71" i="58" s="1"/>
  <c r="AA71" i="58"/>
  <c r="X71" i="58"/>
  <c r="U71" i="58"/>
  <c r="AD70" i="58"/>
  <c r="AE70" i="58" s="1"/>
  <c r="AF70" i="58" s="1"/>
  <c r="AA70" i="58"/>
  <c r="V70" i="58"/>
  <c r="X70" i="58" s="1"/>
  <c r="U70" i="58"/>
  <c r="AD69" i="58"/>
  <c r="AE69" i="58" s="1"/>
  <c r="AF69" i="58" s="1"/>
  <c r="AA69" i="58"/>
  <c r="X69" i="58"/>
  <c r="U69" i="58"/>
  <c r="AD68" i="58"/>
  <c r="AE68" i="58" s="1"/>
  <c r="AF68" i="58" s="1"/>
  <c r="AA68" i="58"/>
  <c r="X68" i="58"/>
  <c r="U68" i="58"/>
  <c r="AD67" i="58"/>
  <c r="AE67" i="58" s="1"/>
  <c r="AF67" i="58" s="1"/>
  <c r="AA67" i="58"/>
  <c r="V67" i="58"/>
  <c r="X67" i="58" s="1"/>
  <c r="U67" i="58"/>
  <c r="AB66" i="58"/>
  <c r="AD66" i="58" s="1"/>
  <c r="AE66" i="58" s="1"/>
  <c r="AF66" i="58" s="1"/>
  <c r="AA66" i="58"/>
  <c r="X66" i="58"/>
  <c r="U66" i="58"/>
  <c r="AE73" i="58" l="1"/>
  <c r="AF73" i="58" s="1"/>
  <c r="AF56" i="58"/>
  <c r="AI13" i="58" l="1"/>
  <c r="AK13" i="58"/>
  <c r="AD21" i="58" l="1"/>
  <c r="AD22" i="58"/>
  <c r="AD19" i="58" l="1"/>
  <c r="AE19" i="58" s="1"/>
  <c r="AF19" i="58" s="1"/>
  <c r="AA19" i="58"/>
  <c r="X19" i="58"/>
  <c r="AD18" i="58"/>
  <c r="AE18" i="58" s="1"/>
  <c r="AF18" i="58" s="1"/>
  <c r="AD17" i="58"/>
  <c r="AE17" i="58" s="1"/>
  <c r="AF17" i="58" s="1"/>
  <c r="X17" i="58"/>
  <c r="AD16" i="58"/>
  <c r="AE16" i="58" s="1"/>
  <c r="AF16" i="58" s="1"/>
  <c r="X16" i="58"/>
  <c r="AD15" i="58"/>
  <c r="AE15" i="58" s="1"/>
  <c r="AF15" i="58" s="1"/>
  <c r="X15" i="58"/>
  <c r="AD14" i="58"/>
  <c r="AE14" i="58" s="1"/>
  <c r="AF14" i="58" s="1"/>
  <c r="AF13" i="58" l="1"/>
  <c r="X13" i="58"/>
  <c r="AD12" i="58"/>
  <c r="AE12" i="58" s="1"/>
  <c r="AF12" i="58" s="1"/>
  <c r="AA12" i="58"/>
  <c r="X12" i="58"/>
  <c r="U12" i="58"/>
  <c r="X11" i="58"/>
  <c r="AE11" i="58" s="1"/>
  <c r="AF11" i="58" s="1"/>
  <c r="U11" i="58"/>
  <c r="AC35" i="58"/>
  <c r="AD35" i="58" s="1"/>
  <c r="AE35" i="58" s="1"/>
  <c r="AF35" i="58" s="1"/>
  <c r="AB35" i="58"/>
  <c r="AD34" i="58"/>
  <c r="AE34" i="58" s="1"/>
  <c r="AF34" i="58" s="1"/>
  <c r="U33" i="58"/>
  <c r="AE33" i="58" s="1"/>
  <c r="AF33" i="58" s="1"/>
  <c r="U32" i="58"/>
  <c r="AE32" i="58" s="1"/>
  <c r="AF32" i="58" s="1"/>
  <c r="AD31" i="58"/>
  <c r="AE31" i="58" s="1"/>
  <c r="AF31" i="58" s="1"/>
  <c r="AD65" i="58" l="1"/>
  <c r="AE65" i="58" s="1"/>
  <c r="AA65" i="58"/>
  <c r="X65" i="58"/>
  <c r="U65" i="58"/>
  <c r="AD64" i="58"/>
  <c r="AE64" i="58" s="1"/>
  <c r="AF64" i="58" s="1"/>
  <c r="AA64" i="58"/>
  <c r="AD63" i="58"/>
  <c r="AE63" i="58" s="1"/>
  <c r="AA63" i="58"/>
  <c r="AF63" i="58" s="1"/>
  <c r="X63" i="58"/>
  <c r="U63" i="58"/>
  <c r="AD62" i="58"/>
  <c r="AE62" i="58" s="1"/>
  <c r="AA62" i="58"/>
  <c r="AF62" i="58" s="1"/>
  <c r="X62" i="58"/>
  <c r="U62" i="58"/>
  <c r="AD61" i="58"/>
  <c r="AE61" i="58" s="1"/>
  <c r="AF61" i="58" s="1"/>
  <c r="AA61" i="58"/>
  <c r="X61" i="58"/>
  <c r="U61" i="58"/>
  <c r="AD60" i="58"/>
  <c r="AE60" i="58" s="1"/>
  <c r="AA60" i="58"/>
  <c r="AF60" i="58" s="1"/>
  <c r="X60" i="58"/>
  <c r="U60" i="58"/>
  <c r="X59" i="58"/>
  <c r="AE59" i="58" s="1"/>
  <c r="AF59" i="58" s="1"/>
  <c r="AC55" i="58"/>
  <c r="AB55" i="58"/>
  <c r="AA55" i="58"/>
  <c r="X55" i="58"/>
  <c r="U55" i="58"/>
  <c r="AC54" i="58"/>
  <c r="AB54" i="58"/>
  <c r="AA54" i="58"/>
  <c r="X54" i="58"/>
  <c r="U54" i="58"/>
  <c r="AB53" i="58"/>
  <c r="AD53" i="58" s="1"/>
  <c r="AE53" i="58" s="1"/>
  <c r="AF53" i="58" s="1"/>
  <c r="AA53" i="58"/>
  <c r="X53" i="58"/>
  <c r="U53" i="58"/>
  <c r="AD52" i="58"/>
  <c r="AE52" i="58" s="1"/>
  <c r="AF52" i="58" s="1"/>
  <c r="AA52" i="58"/>
  <c r="X52" i="58"/>
  <c r="U52" i="58"/>
  <c r="AC51" i="58"/>
  <c r="V51" i="58"/>
  <c r="Y51" i="58" s="1"/>
  <c r="U51" i="58"/>
  <c r="AD50" i="58"/>
  <c r="AE50" i="58" s="1"/>
  <c r="AF50" i="58" s="1"/>
  <c r="AA50" i="58"/>
  <c r="X50" i="58"/>
  <c r="U50" i="58"/>
  <c r="AB49" i="58"/>
  <c r="AD49" i="58" s="1"/>
  <c r="AE49" i="58" s="1"/>
  <c r="AF49" i="58" s="1"/>
  <c r="AA49" i="58"/>
  <c r="V49" i="58"/>
  <c r="X49" i="58" s="1"/>
  <c r="U49" i="58"/>
  <c r="AB48" i="58"/>
  <c r="AD48" i="58" s="1"/>
  <c r="AE48" i="58" s="1"/>
  <c r="AF48" i="58" s="1"/>
  <c r="AA48" i="58"/>
  <c r="X48" i="58"/>
  <c r="U48" i="58"/>
  <c r="AC47" i="58"/>
  <c r="AB47" i="58"/>
  <c r="AA47" i="58"/>
  <c r="X47" i="58"/>
  <c r="V47" i="58"/>
  <c r="U47" i="58"/>
  <c r="AB46" i="58"/>
  <c r="AD46" i="58" s="1"/>
  <c r="AE46" i="58" s="1"/>
  <c r="AF46" i="58" s="1"/>
  <c r="AA46" i="58"/>
  <c r="X46" i="58"/>
  <c r="U46" i="58"/>
  <c r="AD45" i="58"/>
  <c r="AE45" i="58" s="1"/>
  <c r="AF45" i="58" s="1"/>
  <c r="AA45" i="58"/>
  <c r="X45" i="58"/>
  <c r="U45" i="58"/>
  <c r="AF65" i="58" l="1"/>
  <c r="AD54" i="58"/>
  <c r="AE54" i="58" s="1"/>
  <c r="AF54" i="58" s="1"/>
  <c r="AD47" i="58"/>
  <c r="AE47" i="58" s="1"/>
  <c r="AF47" i="58" s="1"/>
  <c r="AD55" i="58"/>
  <c r="AE55" i="58" s="1"/>
  <c r="AF55" i="58" s="1"/>
  <c r="AB51" i="58"/>
  <c r="AD51" i="58" s="1"/>
  <c r="AE51" i="58" s="1"/>
  <c r="AF51" i="58" s="1"/>
  <c r="AA51" i="58"/>
  <c r="X51" i="58"/>
  <c r="AD30" i="58" l="1"/>
  <c r="AE30" i="58" s="1"/>
  <c r="X30" i="58"/>
  <c r="AD29" i="58"/>
  <c r="AE29" i="58" s="1"/>
  <c r="AF29" i="58" s="1"/>
  <c r="AD28" i="58"/>
  <c r="AE28" i="58" s="1"/>
  <c r="AF28" i="58" s="1"/>
  <c r="AD27" i="58"/>
  <c r="AE27" i="58" s="1"/>
  <c r="AA27" i="58"/>
  <c r="X27" i="58"/>
  <c r="U27" i="58"/>
  <c r="AF26" i="58"/>
  <c r="X26" i="58"/>
  <c r="U26" i="58"/>
  <c r="AA25" i="58"/>
  <c r="AE25" i="58" s="1"/>
  <c r="AF25" i="58" s="1"/>
  <c r="X25" i="58"/>
  <c r="U25" i="58"/>
  <c r="AD24" i="58"/>
  <c r="X24" i="58"/>
  <c r="AD23" i="58"/>
  <c r="X23" i="58"/>
  <c r="AE22" i="58"/>
  <c r="AF22" i="58" s="1"/>
  <c r="AE21" i="58"/>
  <c r="AF21" i="58" s="1"/>
  <c r="AD20" i="58"/>
  <c r="X20" i="58"/>
  <c r="AD80" i="58"/>
  <c r="AE80" i="58" s="1"/>
  <c r="AF80" i="58" s="1"/>
  <c r="AD79" i="58"/>
  <c r="AE79" i="58" s="1"/>
  <c r="AF79" i="58" s="1"/>
  <c r="AA79" i="58"/>
  <c r="X79" i="58"/>
  <c r="U79" i="58"/>
  <c r="AD78" i="58"/>
  <c r="AE78" i="58" s="1"/>
  <c r="AF78" i="58" s="1"/>
  <c r="AA78" i="58"/>
  <c r="X78" i="58"/>
  <c r="U78" i="58"/>
  <c r="AD77" i="58"/>
  <c r="AE77" i="58" s="1"/>
  <c r="AF77" i="58" s="1"/>
  <c r="AA77" i="58"/>
  <c r="X77" i="58"/>
  <c r="AF30" i="58" l="1"/>
  <c r="AF27" i="58"/>
  <c r="AE24" i="58"/>
  <c r="AF24" i="58" s="1"/>
  <c r="AE20" i="58"/>
  <c r="AF20" i="58" s="1"/>
  <c r="AE23" i="58"/>
  <c r="AF23" i="58" s="1"/>
  <c r="AD58" i="58"/>
  <c r="AE58" i="58" l="1"/>
  <c r="AF58" i="58" s="1"/>
  <c r="AA58" i="58"/>
  <c r="X58" i="58" l="1"/>
  <c r="U58" i="58"/>
  <c r="AD57" i="58" l="1"/>
  <c r="AE57" i="58" s="1"/>
  <c r="AA57" i="58"/>
  <c r="X57" i="58"/>
  <c r="U57" i="58"/>
  <c r="AF57" i="58" l="1"/>
  <c r="S1" i="22"/>
  <c r="S4" i="22"/>
  <c r="S2" i="22" s="1"/>
  <c r="T2" i="22" s="1"/>
  <c r="S3" i="22"/>
  <c r="C5" i="22"/>
  <c r="C10" i="22"/>
  <c r="D10" i="22"/>
  <c r="E10" i="22"/>
  <c r="F10" i="22"/>
  <c r="G10" i="22"/>
  <c r="H10" i="22"/>
  <c r="I10" i="22"/>
  <c r="J10" i="22"/>
  <c r="K10" i="22"/>
  <c r="L10" i="22"/>
  <c r="M10" i="22"/>
  <c r="C11" i="22"/>
  <c r="D11" i="22"/>
  <c r="E11" i="22"/>
  <c r="F11" i="22"/>
  <c r="G11" i="22"/>
  <c r="H11" i="22"/>
  <c r="I11" i="22"/>
  <c r="J11" i="22"/>
  <c r="K11" i="22"/>
  <c r="L11" i="22"/>
  <c r="M11" i="22"/>
  <c r="U2" i="22" l="1"/>
  <c r="C8" i="22"/>
  <c r="C9" i="22"/>
  <c r="B9" i="22"/>
  <c r="B8" i="22"/>
  <c r="V2" i="22" l="1"/>
  <c r="D9" i="22"/>
  <c r="D8" i="22"/>
  <c r="W2" i="22" l="1"/>
  <c r="E9" i="22"/>
  <c r="E8" i="22"/>
  <c r="X2" i="22" l="1"/>
  <c r="F9" i="22"/>
  <c r="F8" i="22"/>
  <c r="Y2" i="22" l="1"/>
  <c r="G9" i="22"/>
  <c r="G8" i="22"/>
  <c r="Z2" i="22" l="1"/>
  <c r="H9" i="22"/>
  <c r="H8" i="22"/>
  <c r="AA2" i="22" l="1"/>
  <c r="I9" i="22"/>
  <c r="I8" i="22"/>
  <c r="AB2" i="22" l="1"/>
  <c r="J8" i="22"/>
  <c r="J9" i="22"/>
  <c r="AC2" i="22" l="1"/>
  <c r="K8" i="22"/>
  <c r="K9" i="22"/>
  <c r="AD2" i="22" l="1"/>
  <c r="L9" i="22"/>
  <c r="L8" i="22"/>
  <c r="M8" i="22"/>
  <c r="M9" i="22"/>
</calcChain>
</file>

<file path=xl/comments1.xml><?xml version="1.0" encoding="utf-8"?>
<comments xmlns="http://schemas.openxmlformats.org/spreadsheetml/2006/main">
  <authors>
    <author>LUIS HERNANDO VELANDIA GOMEZ</author>
    <author>xsalazar</author>
  </authors>
  <commentList>
    <comment ref="A4" authorId="0" shapeId="0">
      <text>
        <r>
          <rPr>
            <b/>
            <sz val="9"/>
            <color indexed="81"/>
            <rFont val="Tahoma"/>
            <family val="2"/>
          </rPr>
          <t>Corresponde a la fecha de aprobación o modificación del Plan de Acción</t>
        </r>
      </text>
    </comment>
    <comment ref="A5" authorId="1" shapeId="0">
      <text>
        <r>
          <rPr>
            <sz val="8"/>
            <color indexed="81"/>
            <rFont val="Tahoma"/>
            <family val="2"/>
          </rPr>
          <t>(1) Corresponde a la fecha de corte en la cual se realiza el seguimiento</t>
        </r>
        <r>
          <rPr>
            <sz val="8"/>
            <color indexed="81"/>
            <rFont val="Tahoma"/>
            <family val="2"/>
          </rPr>
          <t xml:space="preserve">
</t>
        </r>
      </text>
    </comment>
    <comment ref="S7" authorId="0" shapeId="0">
      <text>
        <r>
          <rPr>
            <b/>
            <sz val="9"/>
            <color indexed="81"/>
            <rFont val="Tahoma"/>
            <family val="2"/>
          </rPr>
          <t xml:space="preserve">Únicamente diligencie las columnas del numerador o denominador del periodo respectivo </t>
        </r>
      </text>
    </comment>
    <comment ref="B8" authorId="0" shapeId="0">
      <text>
        <r>
          <rPr>
            <b/>
            <sz val="9"/>
            <color indexed="81"/>
            <rFont val="Tahoma"/>
            <family val="2"/>
          </rPr>
          <t>Registre el No. de objetivo de acuerdo con el Plan Estratégico de la Entidad al cual le apunta la actividad.</t>
        </r>
      </text>
    </comment>
    <comment ref="C8" authorId="0" shapeId="0">
      <text>
        <r>
          <rPr>
            <b/>
            <sz val="9"/>
            <color indexed="81"/>
            <rFont val="Tahoma"/>
            <family val="2"/>
          </rPr>
          <t>Registre el No. de la estrategia de acuerdo con el Plan Estratégico de la Entidad al cual le apunta la actividad.</t>
        </r>
      </text>
    </comment>
    <comment ref="D8" authorId="1" shapeId="0">
      <text>
        <r>
          <rPr>
            <sz val="8"/>
            <color indexed="81"/>
            <rFont val="Tahoma"/>
            <family val="2"/>
          </rPr>
          <t>(5) Registre el proceso del SIG que se quiere medir</t>
        </r>
      </text>
    </comment>
    <comment ref="E8" authorId="1" shapeId="0">
      <text>
        <r>
          <rPr>
            <sz val="8"/>
            <color indexed="81"/>
            <rFont val="Tahoma"/>
            <family val="2"/>
          </rPr>
          <t xml:space="preserve">(6) Registre la dependencia responsable encargada de ejecutar la actividad </t>
        </r>
        <r>
          <rPr>
            <sz val="8"/>
            <color indexed="81"/>
            <rFont val="Tahoma"/>
            <family val="2"/>
          </rPr>
          <t xml:space="preserve">
</t>
        </r>
      </text>
    </comment>
    <comment ref="F8" authorId="1" shapeId="0">
      <text>
        <r>
          <rPr>
            <sz val="8"/>
            <color indexed="81"/>
            <rFont val="Tahoma"/>
            <family val="2"/>
          </rPr>
          <t>(7) Describa la actividad a ejecutar</t>
        </r>
        <r>
          <rPr>
            <sz val="8"/>
            <color indexed="81"/>
            <rFont val="Tahoma"/>
            <family val="2"/>
          </rPr>
          <t xml:space="preserve">
</t>
        </r>
      </text>
    </comment>
    <comment ref="G8" authorId="1" shapeId="0">
      <text>
        <r>
          <rPr>
            <sz val="8"/>
            <color indexed="81"/>
            <rFont val="Tahoma"/>
            <family val="2"/>
          </rPr>
          <t>(10) fecha limite de ejecución de la actividad</t>
        </r>
        <r>
          <rPr>
            <sz val="8"/>
            <color indexed="81"/>
            <rFont val="Tahoma"/>
            <family val="2"/>
          </rPr>
          <t xml:space="preserve">
</t>
        </r>
      </text>
    </comment>
    <comment ref="H8" authorId="0" shapeId="0">
      <text>
        <r>
          <rPr>
            <b/>
            <sz val="9"/>
            <color indexed="81"/>
            <rFont val="Tahoma"/>
            <family val="2"/>
          </rPr>
          <t>Utilice lista desplegable</t>
        </r>
        <r>
          <rPr>
            <sz val="9"/>
            <color indexed="81"/>
            <rFont val="Tahoma"/>
            <family val="2"/>
          </rPr>
          <t xml:space="preserve">
</t>
        </r>
      </text>
    </comment>
    <comment ref="I8" authorId="0" shapeId="0">
      <text>
        <r>
          <rPr>
            <b/>
            <sz val="9"/>
            <color indexed="81"/>
            <rFont val="Tahoma"/>
            <family val="2"/>
          </rPr>
          <t>Establece la identidad del indicador, por lo tanto, debe hacerse en la forma sencilla y de acuerdo con la actividad que se quiere medir. Debe ser el nombre definido en la hoja de vida del indicador.</t>
        </r>
      </text>
    </comment>
    <comment ref="J8" authorId="0" shapeId="0">
      <text>
        <r>
          <rPr>
            <b/>
            <sz val="9"/>
            <color indexed="81"/>
            <rFont val="Tahoma"/>
            <family val="2"/>
          </rPr>
          <t>Señala la razón de ser del indicador y lo que se quiere medir al efectuar el seguimiento.</t>
        </r>
      </text>
    </comment>
    <comment ref="L8" authorId="1" shapeId="0">
      <text>
        <r>
          <rPr>
            <sz val="8"/>
            <color indexed="81"/>
            <rFont val="Tahoma"/>
            <family val="2"/>
          </rPr>
          <t>(9) Magnitud referencia para la medición</t>
        </r>
        <r>
          <rPr>
            <sz val="8"/>
            <color indexed="81"/>
            <rFont val="Tahoma"/>
            <family val="2"/>
          </rPr>
          <t xml:space="preserve">
</t>
        </r>
      </text>
    </comment>
    <comment ref="M8" authorId="0" shapeId="0">
      <text>
        <r>
          <rPr>
            <b/>
            <sz val="9"/>
            <color indexed="81"/>
            <rFont val="Tahoma"/>
            <family val="2"/>
          </rPr>
          <t>Valor inicial del indicador que se toma como referencia para comparar el avance del objetivo. Si el indicador se formula por primera vez, podría suceder que no exista un valor base. Una vez realizad la medición se tomará como línea base.</t>
        </r>
      </text>
    </comment>
    <comment ref="N8" authorId="0" shapeId="0">
      <text>
        <r>
          <rPr>
            <b/>
            <sz val="9"/>
            <color indexed="81"/>
            <rFont val="Tahoma"/>
            <family val="2"/>
          </rPr>
          <t>Si la periodicidad de medada en trimestral distribuya la meta en 4 periodos; semestral en 2 y anual en uno</t>
        </r>
      </text>
    </comment>
    <comment ref="O8" authorId="0" shapeId="0">
      <text>
        <r>
          <rPr>
            <b/>
            <sz val="9"/>
            <color indexed="81"/>
            <rFont val="Tahoma"/>
            <family val="2"/>
          </rPr>
          <t>Determine metas de periodo en coherencia con la periodicidad de seguimiento del indicador</t>
        </r>
      </text>
    </comment>
    <comment ref="AE8" authorId="0" shapeId="0">
      <text>
        <r>
          <rPr>
            <b/>
            <sz val="9"/>
            <color indexed="81"/>
            <rFont val="Tahoma"/>
            <family val="2"/>
          </rPr>
          <t xml:space="preserve">Se suman los resultados parciales y se divide por la meta anual </t>
        </r>
      </text>
    </comment>
    <comment ref="AF8" authorId="0" shapeId="0">
      <text>
        <r>
          <rPr>
            <b/>
            <sz val="9"/>
            <color indexed="81"/>
            <rFont val="Tahoma"/>
            <family val="2"/>
          </rPr>
          <t xml:space="preserve">Se toma como referencia el resultado acumulado Vs los siguientes parámetros:
* Indicador de Eficacia y efectividad
Mínimo: &lt;80%
Aceptable. &gt;=80 y &lt;90%.
Satisfactorio: &gt;=90
Indicador de Eficiencia: Para cada Indicador se debe formular según línea base
</t>
        </r>
      </text>
    </comment>
    <comment ref="AG8" authorId="0" shapeId="0">
      <text>
        <r>
          <rPr>
            <b/>
            <sz val="9"/>
            <color indexed="81"/>
            <rFont val="Tahoma"/>
            <family val="2"/>
          </rPr>
          <t>Los responsables del análisis del indicador con base en la información registrada en las variables u el cálculo del mismo, deben reportar en este campo la justificación de los resultados obtenidos, conforme a la periodicidad de medición del indicador, señalando si lo que se buscaba lograr se cumplió o no y por qué y qué significa el resultado obtenido. (Rango de cumplimiento, porcentaje alcanzado y por lograr).</t>
        </r>
      </text>
    </comment>
    <comment ref="AI9" authorId="1" shapeId="0">
      <text>
        <r>
          <rPr>
            <sz val="8"/>
            <color indexed="81"/>
            <rFont val="Tahoma"/>
            <family val="2"/>
          </rPr>
          <t xml:space="preserve">La determinación del rango Mínimo no debe ser mayor a 20 puntos porcentuales por debajo la meta. 
</t>
        </r>
      </text>
    </comment>
  </commentList>
</comments>
</file>

<file path=xl/sharedStrings.xml><?xml version="1.0" encoding="utf-8"?>
<sst xmlns="http://schemas.openxmlformats.org/spreadsheetml/2006/main" count="1254" uniqueCount="569">
  <si>
    <t>MÍNIMO</t>
  </si>
  <si>
    <t>INDICE DE INDICADORES</t>
  </si>
  <si>
    <t>Fecha actual</t>
  </si>
  <si>
    <t>Tabla 12 ultimos meses</t>
  </si>
  <si>
    <t>fila dato</t>
  </si>
  <si>
    <t>Fila mes</t>
  </si>
  <si>
    <t>columna inic</t>
  </si>
  <si>
    <t>columna dato</t>
  </si>
  <si>
    <t>MES</t>
  </si>
  <si>
    <t>INDIC.</t>
  </si>
  <si>
    <t>MIN</t>
  </si>
  <si>
    <t>MAX</t>
  </si>
  <si>
    <t>CUMPLIMIENTO DE OBJETIVOS</t>
  </si>
  <si>
    <t>HOJA DE VIDA</t>
  </si>
  <si>
    <t>ACTIVIDAD</t>
  </si>
  <si>
    <t>ACEPTABLE</t>
  </si>
  <si>
    <t>SATISFACTORIO</t>
  </si>
  <si>
    <t>FORMULACION</t>
  </si>
  <si>
    <t>SEGUIMIENTO</t>
  </si>
  <si>
    <t>RANGOS DE CALIFICACIÓN (16)</t>
  </si>
  <si>
    <t>METAS</t>
  </si>
  <si>
    <t>Numerador</t>
  </si>
  <si>
    <t>Resultado</t>
  </si>
  <si>
    <t>ANÁLISIS</t>
  </si>
  <si>
    <t>INDICADOR</t>
  </si>
  <si>
    <t>Página x de x</t>
  </si>
  <si>
    <t>1º Trim</t>
  </si>
  <si>
    <t>2º Trim</t>
  </si>
  <si>
    <t>3º Trim</t>
  </si>
  <si>
    <t>4º Trim</t>
  </si>
  <si>
    <t>1º Trimestre</t>
  </si>
  <si>
    <t>2º Trimestre</t>
  </si>
  <si>
    <t>3º Trimestre</t>
  </si>
  <si>
    <t>4º Trimestre</t>
  </si>
  <si>
    <t>PLAN
ESTRATÉGICO</t>
  </si>
  <si>
    <t>Eficacia</t>
  </si>
  <si>
    <t>Efectividad</t>
  </si>
  <si>
    <t>Eficiencia</t>
  </si>
  <si>
    <t>Mínimo: &lt;80%</t>
  </si>
  <si>
    <t>No
(3)</t>
  </si>
  <si>
    <t>Objetivo
(4)</t>
  </si>
  <si>
    <t>Estrategia
(5)</t>
  </si>
  <si>
    <t>Proceso
(6)</t>
  </si>
  <si>
    <t>Actividad
(8)</t>
  </si>
  <si>
    <t>RESULTADO DEL INDICADOR (18)</t>
  </si>
  <si>
    <t>Resultado acumulado con respecto a la meta
(19)</t>
  </si>
  <si>
    <t>RANGO DE CALIFICACIÓN DEL RESULTADO
(20)</t>
  </si>
  <si>
    <t>ANÁLISIS DEL RESULTADO
(21)</t>
  </si>
  <si>
    <t>Fecha de ejecución
(9)</t>
  </si>
  <si>
    <t>TIPO
Eficacia
Efectividad Eficiencia 
(10)</t>
  </si>
  <si>
    <t>Nombre
(11)</t>
  </si>
  <si>
    <t>Objetivo
(12)</t>
  </si>
  <si>
    <t>Fórmula
(13)</t>
  </si>
  <si>
    <t>Unidad de medida
(14)</t>
  </si>
  <si>
    <t>Línea base
(15)</t>
  </si>
  <si>
    <t>Meta Anual
(16)</t>
  </si>
  <si>
    <t>Metas de periodo (17)</t>
  </si>
  <si>
    <t>GESTIÓN JURÍDICA</t>
  </si>
  <si>
    <t>Oficina Asesora Jurídica</t>
  </si>
  <si>
    <t>Realizar las actuaciones administrativas y judiciales pertinentes para ejercer la defensa de los intereses litigiosos de la Entidad.</t>
  </si>
  <si>
    <t>Medir el cumplimiento en la representación administrativa y judicial de la Entidad</t>
  </si>
  <si>
    <t>&lt;80%</t>
  </si>
  <si>
    <t>3.1</t>
  </si>
  <si>
    <t>Asesorar a las dependencias y comités en el cumplimiento de actividades propias de los procesos del sistema integrado de gestión.</t>
  </si>
  <si>
    <t>&gt;=90%</t>
  </si>
  <si>
    <t>Aceptable. &gt;=80 y &lt;90%.</t>
  </si>
  <si>
    <t>Satisfactorio: &gt;=90%</t>
  </si>
  <si>
    <t>Aceptable. &gt;=80 y &lt;90%</t>
  </si>
  <si>
    <t>Medir el cumplimiento en las asesorías requeridas a la Oficina Asesora Jurídica</t>
  </si>
  <si>
    <t>2. Fecha de seguimiento: Diciembre  31 de 2017</t>
  </si>
  <si>
    <t>Seguimiento a 31-12-2017:
El nivel de cumplimiento en la representación judicial  y extrajudicial de la Entidad acumulado anual es del 99%, ubicándose en rango satisfactorio, dado que se realizaron 390 de las 392 actuaciones relacionadas con actividades extraprocesales (fichas en comité de conciliación, audiencias ante la Procuraduría General de la Nación) y judiciales (demanda o contestación, alegatos de conclusión, recursos, trámite de pruebas, asistencia audiencias, incidentes) por parte de los funcionarios apoderados de la Entidad.
Con respecto a la meta anual el porcentaje de avance es 99%. 
Las 2 actuaciones pendientes se encuentran en término para ser ejecutadas una vez terminada la vacancia judicial.</t>
  </si>
  <si>
    <t>PLAN DE ACCIÓN - VIGENCIA 2017 - Versión 5.0</t>
  </si>
  <si>
    <t>1. Fecha de aprobación y/o modificación: Diciembre 22 de 2017</t>
  </si>
  <si>
    <t>3.2</t>
  </si>
  <si>
    <t>Subdirección de Servicios Generales</t>
  </si>
  <si>
    <t>Recibir  las transferencias documentales primarias programadas durante la vigencia 2017</t>
  </si>
  <si>
    <t>Nivel de  cumplimiento de las Transferencias  documentales primarias</t>
  </si>
  <si>
    <t>Medir el porcentaje de cumplimiento de las transferencias primarias programadas durante la vigencia 2017</t>
  </si>
  <si>
    <t xml:space="preserve">No. de Transferencias primarias recibidas en el  período de análisis * 100 / Total Transferencias primarias programadas </t>
  </si>
  <si>
    <t>NA</t>
  </si>
  <si>
    <t xml:space="preserve">El cronograma de transferencias documentales para la vigencia 2017 fue aprobado en Comité Interno de Archivo llevado a cabo el 27 de diciembre de  2016, así mismo fue comunicado a todas las dependencias de la entidad con memorando radicación 3-2017-00361 de enero 11 de 2017.
A diciembre de 2017 el porcentaje de cumplimiento de las transferencias primarias alcanza un 98%, toda vez que de las 81 transferencias primarias programadas se ha recibido la transferencia de 79 dependencias. El resultado ubica el indicador en el rango de satisfactorio. Las dependencias que quedaron pendientes son: Dirección de Sector Salud y Dirección de Apoyo al Despacho.
Adicional a las transferencias programadas se recibieron transferencias de años anteriores.
</t>
  </si>
  <si>
    <t>Realizar encuestas con el fin de medir la percepción de los clientes internos  frente a los servicios ofrecidos por el Proceso de Gestión Documental</t>
  </si>
  <si>
    <t>Nivel de satisfacción del cliente interno frente a los servicios ofrecidos por el Proceso de Gestión Documental</t>
  </si>
  <si>
    <t>No. de encuestados usuarios del servicio que califican como satisfactorio la prestación del mismo * 100/ Total de usuarios encuestados que califican el servicio del Proceso de Gestión Documental.</t>
  </si>
  <si>
    <t xml:space="preserve">A Diciembre de 2017 el nivel de satisfacción del cliente interno fue del 100% ubicando el indicador en el rango de satisfactorio, lo anterior toda vez que de los 120 usuarios de las diferentes dependencias a los que se les ha prestado el servicio de consulta o préstamo de documentos, la totalidad ha dado una calificación de satisfactoria en la prestación oportuna del servicio ofrecido por el Proceso Gestión Documental. La cantidad de encuestas realizadas por trimestre han sido: Primer trimestre 30, segundo trimestre 13, tercer trimestre 31 y cuarto trimestre 46.
El resultado del indicador frente a la meta es del 111% teniendo en cuenta que la meta se estableció en un 90%.
</t>
  </si>
  <si>
    <t xml:space="preserve">Nivel de cumplimiento en la ejecución de las capacitaciones en materia de Gestión Documental </t>
  </si>
  <si>
    <t>No. de dependencias capacitadas en materia de Gestión Documental  *100 / Total de dependencias  programadas a capacitar</t>
  </si>
  <si>
    <t xml:space="preserve">.
El Nivel de cumplimiento en la ejecución de las capacitaciones en materia de Gestión Documental fue del 100%, toda vez que de las 52 dependencias programadas a capacitar, fueron capacitadas en materia de gestión documental. Dentro de los temas tratados en las capacitaciones se tienen: Programa de Gestión Documental, Aplicación de Tabla de retención documental, organización y transferencias documentales, aplicación de instrumentos archivísticos y procedimientos del Proceso.
El cumplimiento del indicador sobre la meta da como resultado un 100% ubicándolo en el rango de satisfactorio.
</t>
  </si>
  <si>
    <t>La periodicidad de seguimiento de este indicador es Anual, a diciembre de 2017 se tiene un nivel de cumplimiento en la ejecución de los recursos asignados del 99,96%, toda vez que de los $231 millones fueron ejecutados $230,9 millones.
Los mencionados recursos corresponden a los previstos para la Meta 3 del Proyecto 1195 Plan de Desarrollo "Bogotá mejor para todos".
Vale la pena aclarar que de los $320 millones asignados y reportados a junio se trasladaron $84 millones para la meta 4 quedando un saldo para la meta 3 de $236 millones. 
Igualmente fueron trasladados $5 millones a la meta 1 del proyecto 1195 Desarrollar y Ejecutar Estrategias para Fortalecer el Sistema Integrado de Gestión en la Contraloría de Bogotá, quedando un saldo para la meta 3 de $231 millones.</t>
  </si>
  <si>
    <t>2.3</t>
  </si>
  <si>
    <t xml:space="preserve">Participación Ciudadana y Comunicación con Partes Interesadas </t>
  </si>
  <si>
    <t>Dirección de Participación Ciudadana y Desarrollo Local</t>
  </si>
  <si>
    <t>Desarrollar actividades de  pedagogía social formativa e ilustrativa.</t>
  </si>
  <si>
    <t>Implementación de procesos de pedagogía social formativa e ilustrativa</t>
  </si>
  <si>
    <t>Medir el cumplimiento de las actividades pedagógicas programadas.</t>
  </si>
  <si>
    <t>No. De actividades de pedagogía social ejecutadas *100 / Total de actividades de pedagogía social programadas.</t>
  </si>
  <si>
    <t>%</t>
  </si>
  <si>
    <t xml:space="preserve"> - </t>
  </si>
  <si>
    <t>&gt;=80% y &lt; 100%</t>
  </si>
  <si>
    <t>&gt;=100%</t>
  </si>
  <si>
    <t>2.1</t>
  </si>
  <si>
    <t>Dirección de Apoyo al Despacho</t>
  </si>
  <si>
    <t>Medir el grado de satisfacción del servicio al cliente (Concejo) que brinda la Contraloría de Bogotá.</t>
  </si>
  <si>
    <t>Percepción de los Concejales sobre los productos y servicios de la Contraloría entregados.</t>
  </si>
  <si>
    <t>Conocer la percepción de los concejales de Bogotá respecto a la Contraloría.</t>
  </si>
  <si>
    <t xml:space="preserve">No. de Concejales encuestados  con percepción positiva sobre el servicio al cliente prestado por la Contraloría de Bogotá * 100 / Total de Concejales encuestados.  </t>
  </si>
  <si>
    <t>&lt;60%</t>
  </si>
  <si>
    <t>&gt;=60% y &lt; 90%</t>
  </si>
  <si>
    <t>Medir el grado de satisfacción del servicio al cliente (Ciudadanía) que brinda la Contraloría de Bogotá.</t>
  </si>
  <si>
    <t>Percepción de los ciudadanos sobre la Entidad.</t>
  </si>
  <si>
    <t>Conocer la percepción de los ciudadanos de Bogotá respecto a la Contraloría.</t>
  </si>
  <si>
    <t xml:space="preserve">No. de ciudadanos encuestados  con percepción positiva sobre el servicio al cliente prestado por la Contraloría de Bogotá * 100 / Total de ciudadanos encuestados.  </t>
  </si>
  <si>
    <t>2.2</t>
  </si>
  <si>
    <t>Desarrollar actividades de control social en las localidades como: instrumentos de interacción (audiencia pública, rendición de cuentas, mesa de trabajo ciudadana, inspecciones a terreno  y revisión de contratos) y mecanismos de control social a la gestión pública (auditoría social, comité de control social, veeduría ciudadana, redes sociales y contraloría estudiantil entre otros)</t>
  </si>
  <si>
    <t>Implementación mecanismos de control social a la gestión pública.</t>
  </si>
  <si>
    <t>Medir el cumplimiento de las actividades de control social programadas.</t>
  </si>
  <si>
    <t>No. De actividades  que incluyen  mecanismos de control social e instrumentos de interacción a la gestión pública ejecutadas *100 / Total de actividades que  incluyen mecanismos de control social e instrumentos de interacción a la gestión pública programadas.</t>
  </si>
  <si>
    <t>2.4</t>
  </si>
  <si>
    <t>Realizar rendiciones de cuenta a la ciudadanía, de la gestión desarrollada por la Contraloría de Bogotá, D.C., y sus resultados.(20)</t>
  </si>
  <si>
    <t>Nivel de cumplimiento en la Rendición de cuentas de la Contraloría de Bogotá.</t>
  </si>
  <si>
    <t>Medir el cumplimiento de la Rendición de cuentas donde  de manera efectiva y oportuna se informa a la ciudadanía sobre los resultados de la gestión desarrollada por la Contraloría de Bogotá, D.C.</t>
  </si>
  <si>
    <t>Nº de rendiciones de cuenta ejecutadas *100 / Nº de rendiciones de cuenta  programadas.</t>
  </si>
  <si>
    <t>Emitir reportes sobre las causas más frecuentes de los derechos de petición tramitados por las áreas misionales de la entidad.(3)</t>
  </si>
  <si>
    <t>Nivel de cumplimiento  en el Reporte de solicitudes ciudadanas acerca del control fiscal</t>
  </si>
  <si>
    <t>Medir el cumplimiento de los reportes que Sirven  de insumo al proceso de planeación del PAD y PAE de la entidad</t>
  </si>
  <si>
    <t>No. de Reportes emitidos* 100 / Reportes programados (3)</t>
  </si>
  <si>
    <t>&gt;=80% y &lt;100%</t>
  </si>
  <si>
    <t>&gt;100%</t>
  </si>
  <si>
    <t>Emitir publicaciones que contengan el resultado de las diferentes actividades de la Contraloría de Bogotá para el apoyo técnico del control político que realiza el Concejo de Bogotá.(3)</t>
  </si>
  <si>
    <t>Nivel de cumplimiento en la emisión del Boletín Concejo &amp; Control</t>
  </si>
  <si>
    <t>Medir el cumplimiento de los boletines emitidos para Visibilizar el apoyo técnico al ejercicio del control político que la entidad le brinda al Concejo de Bogotá</t>
  </si>
  <si>
    <t>No. de Boletines entregados * 100 / Boletines programados (3)</t>
  </si>
  <si>
    <t>Oficina Asesora de Comunicaciones</t>
  </si>
  <si>
    <t>Adelantar campañas de comunicación con componente interno y externo,  que permita fortalecer la imagen institucional y  divulgar la gestión de la Contraloría de Bogotá.</t>
  </si>
  <si>
    <t xml:space="preserve">Eficacia </t>
  </si>
  <si>
    <t xml:space="preserve">Nivel de cumplimiento de campañas de comunicación </t>
  </si>
  <si>
    <t>Verificar el cumplimiento de las campañas de comunicación.</t>
  </si>
  <si>
    <t>No. de campañas de comunicación  ejecutadas *100/ No. de campañas de comunicación programadas (6).</t>
  </si>
  <si>
    <t>&lt;=80%</t>
  </si>
  <si>
    <t>&gt;80% y &lt; 90%</t>
  </si>
  <si>
    <t>Realizar encuesta con el fin de conocer la percepción de los funcionarios de la entidad frente a las campañas de comunicación, encaminadas a conocer y posicionar los canales de comunicación  de la entidad.</t>
  </si>
  <si>
    <t xml:space="preserve">Percepción de los funcionarios de la entidad frente a las campañas de comunicación </t>
  </si>
  <si>
    <t>Medir la percepción de los funcionarios sobre las campañas de comunicación de la entidad</t>
  </si>
  <si>
    <t xml:space="preserve">No. de funcionarios encuestados que tienen percepción positiva sobre las campañas de comunicación ejecutadas   * 100/ Total de funcionarios encuestados.  </t>
  </si>
  <si>
    <t xml:space="preserve">Seguimiento Diciembre El indicador refleja un nivel de cumplimiento satisfactorio al obtener un 91%, dado que de los 209 funcionarios encuestados, 190 tienen percepción positiva (muy buena 84 y buena 106) sobre la gestión de la comunicación institucional y de apoyo de la Oficina Asesora de Comunicaciones a otras dependencias en el que 101 señalaron que era buena y 90 muy buena.
En cuanto a las campañas 180 respondieron  valores-(Imprudencio Malaleche), 161 Identifícate, 106 redes sociales, 72 información en medios de comunicación masiva, y otras 10
</t>
  </si>
  <si>
    <t>Realizar encuesta con el fin de conocer la percepción de los periodistas sobre la gestión de la entidad durante la vigencia.</t>
  </si>
  <si>
    <t>Percepción de los periodistas sobre la gestión de la entidad durante la vigencia.</t>
  </si>
  <si>
    <t>Medir la percepción de los periodistas  sobre la gestión de la entidad.</t>
  </si>
  <si>
    <t>No. de periodistas encuestados que tienen percepción positiva sobre la gestión de la entidad*100 total de periodistas encuestados.</t>
  </si>
  <si>
    <t xml:space="preserve"> -</t>
  </si>
  <si>
    <t>Seguimiento Diciembre El indicador refleja un nivel de cumplimiento mínimo por cuanto de los 44 periodistas encuestados en el 2017 por la firma encuestadora Tempo Group, 31 respondieron que tenían una percepción favorable de la gestión de la Contraloría de Bogotá, es decir el 70%. Es de aclarar, que la encuesta también midió la calidad oportunidad de los productos, servicios y actividades ciudadanas, desarrollados por la Contraloría de Bogotá.</t>
  </si>
  <si>
    <t>Socializar los resultados  de la rendición de cuentas de la Entidad.</t>
  </si>
  <si>
    <t>Nivel de cumplimiento en la socialización de los resultados de la rendición de cuentas de la Entidad</t>
  </si>
  <si>
    <t>Medir la eficacia en la socialización de los resultados de la Rendición de Cuentas</t>
  </si>
  <si>
    <t>No. de socializaciones efectuadas sobre  resultados de la Rendición de Cuentas*100/ No. de rendición de cuentas realizadas por la Entidad.</t>
  </si>
  <si>
    <t>Responsabilidad Fiscal y Jurisdicción Coactiva</t>
  </si>
  <si>
    <t>Dirección de
Responsabilidad
Fiscal y
Subdirección del
Proceso de
Responsabilidad
Fiscal</t>
  </si>
  <si>
    <t>Cumplimiento en la elaboración de los documentos para mejorar la calidad de los insumos</t>
  </si>
  <si>
    <t>Índice   de promulgación de  documentos para lograr la disminución de devolución de  hallazgos fiscales e indagaciones preliminares</t>
  </si>
  <si>
    <t>Número de  documentos publicados en la intranet * 100 /Número de documentos programados a publicar cuatro  (4)</t>
  </si>
  <si>
    <t>&gt;=80%  y &lt;90%</t>
  </si>
  <si>
    <t>Decretar Medida Cautelar en  los procesos de responsabilidad fiscal que cuenten con información patrimonial positiva, mientras las posibilidades legales y procesales lo permitan.</t>
  </si>
  <si>
    <t xml:space="preserve">Índice de Decreto de Medida Cautelar en Procesos de Responsabilidad Fiscal </t>
  </si>
  <si>
    <t>Lograr el resarcimiento del daño patrimonial</t>
  </si>
  <si>
    <t xml:space="preserve">Número de procesos con decreto de medida cautelar  durante la vigencia 2017 mientras las posibilidades legales y procesales lo permitan    *100/ Número de Procesos de Responsabilidad Fiscal con información patrimonial positiva </t>
  </si>
  <si>
    <t>Decidir con auto de apertura (proceso ordinario) o auto de apertura e imputación (verbal) o memorando de devolución  cualquiera sea su vigencia, los hallazgos fiscales y/o indagaciones preliminares  durante el año  2017</t>
  </si>
  <si>
    <t>Índice de evaluación de hallazgos fiscales</t>
  </si>
  <si>
    <t xml:space="preserve">Cantidad de autos de apertura o autos de apertura e imputación del proceso de responsabilidad fiscal más el de  número de memorandos de devolución de hallazgos e indagaciones preliminares, cualquiera sea su vigencia * 100 / inventario total de hallazgos  fiscales e indagaciones preliminares radicados con anterioridad al 30 de noviembre de 2017, cualquiera sea su vigencia  </t>
  </si>
  <si>
    <t>Índice de decisiones procesales para evitar  la  prescripción de la acción fiscal</t>
  </si>
  <si>
    <t xml:space="preserve">Evitar la prescripción de los procesos de responsabilidad fiscal de las vigencias 2012 y 2013  </t>
  </si>
  <si>
    <t xml:space="preserve">Número de decisiones ejecutoriadas correspondientes a archivos, cesación de la acción fiscal  y fallos con o sin  emitidos  en los procesos de Responsabilidad Fiscal de las vigencias 2012  y 2013, menos el Número de Procesos de responsabilidad fiscal con decisión por prescripción de la acción fiscal de la vigencia 2012 *100/ Número de procesos activos de las vigencias 2012 y 2013,  que estén en trámite. </t>
  </si>
  <si>
    <t>Proferir 300 decisiones  de las contempladas en los artículos 16, 47, 48, 53, 54 de   la Ley 610 de 2000, 98 y 111 de la Ley 1474 de 2011, en los procesos verbales y ordinarios</t>
  </si>
  <si>
    <t xml:space="preserve">Índice de avance  de los procesos de responsabilidad fiscal </t>
  </si>
  <si>
    <t>Evitar la inactividad procesal</t>
  </si>
  <si>
    <t>Número de procesos con  decisión   de los artículos 16, 47, 48, 53 y 54 de   la Ley 610 de 2000, 98 y 111 de la Ley 1474 de 2011, en los procesos verbales y ordinarios *100 / 300 procesos de responsabilidad fiscal programados para proferir las decisiones de los artículos 16, 47, 48,  53, 54 de   la Ley 610 de 2000, 98 y 111 de la Ley 1474 de 2011, en los procesos verbales y ordinarios</t>
  </si>
  <si>
    <t>Iniciar procesos de responsabilidad fiscal bajo el procedimiento verbal, siempre y cuando las posibilidades legales, logísticas y tecnológicas lo permitan.</t>
  </si>
  <si>
    <t>Efectividad de los procesos de responsabilidad fiscal verbal</t>
  </si>
  <si>
    <t>Medir la efectividad de los procesos de responsabilidad fiscal verbales</t>
  </si>
  <si>
    <t xml:space="preserve">Número de procesos con auto de apertura e  imputación de responsabilidad fiscal  iniciados  mediante el procedimiento verbal, siempre y cuando las posibilidades legales, logísticas y tecnológicas lo permitan  *100 / Número de hallazgos fiscales e indagaciones preliminares que cumplan con los requisitos para proferir auto de apertura e imputación de responsabilidad fiscal   </t>
  </si>
  <si>
    <t>Subdirección de Jurisdicción Coactiva</t>
  </si>
  <si>
    <t>Recaudar el dinero proveniente de los Títulos Ejecutivos Remitidos a la Subdirección de Jurisdicción Coactiva, mientras las posibilidades legales lo permitan</t>
  </si>
  <si>
    <t>Efectividad del recaudo efectuado en Procesos de Jurisdicción Coactiva</t>
  </si>
  <si>
    <t xml:space="preserve">Medir la efectividad del recaudo efectuado por los procesos de Jurisdicción coactiva </t>
  </si>
  <si>
    <t>Pesos</t>
  </si>
  <si>
    <t>Cumplimiento en los Mandamientos de Pago</t>
  </si>
  <si>
    <t>Traslado  y Endoso Oportuno de Dineros Recaudados a las Entidades Afectadas.</t>
  </si>
  <si>
    <t>Cumplimiento en el traslado de los dineros recaudados en el  Proceso de Cobro Coactivo</t>
  </si>
  <si>
    <t>Nivel de efectividad del cobro persuasivo.</t>
  </si>
  <si>
    <t>Medir la efectividad en la etapa del cobro persuasivo para obtener en el menor tiempo posible el pago del daño fiscal</t>
  </si>
  <si>
    <t>N° Procesos  con agotamiento del Cobro Persuasivo *100% / N° Procesos ingresados durante la vigencia  con Titulo Ejecutivo</t>
  </si>
  <si>
    <t>1.2</t>
  </si>
  <si>
    <t xml:space="preserve"> Subdirección de Jurisdicción Coactiva</t>
  </si>
  <si>
    <t>Cumplimiento trámite de las Medidas Cautelares</t>
  </si>
  <si>
    <t>4.1</t>
  </si>
  <si>
    <t>Gestión del Talento
Humano</t>
  </si>
  <si>
    <t>Subdirección de Carrera Administrativa</t>
  </si>
  <si>
    <t>Realizar un estudio sobre perfiles y competencias de los  Servidores Públicos de la Entidad, con el fin de distribuir el talento humano de la planta global, de acuerdo con la planificación de los procesos misionales para la vigencia 2017.</t>
  </si>
  <si>
    <t>Nivel de cumplimiento en la presentación del estudio.</t>
  </si>
  <si>
    <t>Medir el cumplimiento en la presentación del estudio</t>
  </si>
  <si>
    <t>Estudio sobre perfiles y competencias  de los funcionarios de la Entidad presentado?:
SÍ: 100%
NO: 0%</t>
  </si>
  <si>
    <t>_</t>
  </si>
  <si>
    <t>Mínimo:=0%</t>
  </si>
  <si>
    <t>Satisfactorio: =100%</t>
  </si>
  <si>
    <t>Subdirección de Gestión del Talento Humano</t>
  </si>
  <si>
    <t>Sensibilizar a los Servidores Públicos de la entidad mediante escritos, comunicados y/o  elementos informativos sobre temas relacionados con situaciones administrativas laborales, a efecto de lograr mayor efectividad en la Administración del Talento Humano en la Contraloría de Bogotá, D. C.</t>
  </si>
  <si>
    <t>Nivel de cumplimiento en la  emisión de  los escritos, comunicados y/o  elementos  informativos sobre situaciones administrativas laborales</t>
  </si>
  <si>
    <t>Medir el cumplimiento de la emisión de los escritos, comunicados y/o  elementos informativos sobre situaciones administrativas laborales.</t>
  </si>
  <si>
    <t>No. De escritos, comunicados y/o  elementos  informativos emitidos*100/ Total de escritos, comunicados y/o  elementos  programados (8)</t>
  </si>
  <si>
    <t>Aceptable. &gt;80% y &lt;90%</t>
  </si>
  <si>
    <t>4.2</t>
  </si>
  <si>
    <t>Subdirección de Capacitación y Cooperación Técnica</t>
  </si>
  <si>
    <t>Desarrollar  actividades de formación  encaminadas al mejoramiento de las competencias laborales de los  Servidores Públicos de la Contraloría de Bogotá, D. C.</t>
  </si>
  <si>
    <t xml:space="preserve">Nivel de cumplimiento de las horas hombre de formación. </t>
  </si>
  <si>
    <t>Medir el cumplimiento de horas hombre de formación</t>
  </si>
  <si>
    <t>IHH=Σ_(i=1)^(i=n)▒〖 〖No.horascapacitació n〗_i×〖Pob.beneficia ria〗_i 〗, Qi=1,2,…,n programas de capacitación realizados/Total de horas hombre programadas</t>
  </si>
  <si>
    <t>Oficina de Asuntos Disciplinarios</t>
  </si>
  <si>
    <t xml:space="preserve">Emitir  un boletín trimestral en materia de políticas del régimen disciplinario con el fin de orientar a los Servidores Públicos de la Contraloría de Bogotá,  para   generar consciencia y prevenir acciones disciplinables.
</t>
  </si>
  <si>
    <t>Medir el cumplimiento de la emisión de boletines con las políticas del régimen disciplinario</t>
  </si>
  <si>
    <t>No. De boletines emitidos*100/ Total de boletines programados (4)</t>
  </si>
  <si>
    <t>Nivel de cumplimiento de  las Actividades de Sensibilización.</t>
  </si>
  <si>
    <t>Medir el cumplimiento de la realización de las Actividades  de Sensibilización</t>
  </si>
  <si>
    <t xml:space="preserve">No. De actividades de sensibilización realizadas*100/ Total de actividades de sensibilización programadas (8)
</t>
  </si>
  <si>
    <t>-</t>
  </si>
  <si>
    <t>4.3</t>
  </si>
  <si>
    <t>Subdirección de Bienestar Social</t>
  </si>
  <si>
    <t>Realizar jornadas de sensibilización en temas de clima laboral y resolución de conflictos del Programa de Bienestar Social y en el Subsistema de Gestión de Seguridad y Salud en el trabajo dentro del programa de riesgo psicosocial con el fin de continuar mejorando y fortaleciendo la calidad de vida laboral de los Servidores Públicos de la Contraloría de Bogotá, D. C.</t>
  </si>
  <si>
    <t>Nivel de cumplimiento de  las Jornadas de Sensibilización.</t>
  </si>
  <si>
    <t>Medir el cumplimiento de la realización de las Jornadas de Sensibilización</t>
  </si>
  <si>
    <t xml:space="preserve">No. de jornadas de sensibilización realizadas*100/Total de jornadas de sensibilización programadas (10)
</t>
  </si>
  <si>
    <t>N.A</t>
  </si>
  <si>
    <t>4.4</t>
  </si>
  <si>
    <t>Efectuar campañas de divulgación a través de los medios de comunicación institucionales  a fin de desarrollar y fomentar los ocho (8) valores organizacionales en función de una cultura de servicio público que genere sentido de pertenencia y compromiso institucional.</t>
  </si>
  <si>
    <t>Nivel de cumplimiento de las campañas de divulgación a fin de desarrollar y fomentar los valores organizacionales.</t>
  </si>
  <si>
    <t>Medir el cumplimiento de las campañas de divulgación a fin de desarrollar y fomentar valores organizacionales.</t>
  </si>
  <si>
    <t xml:space="preserve">No. De campañas realizadas *100/ Total campañas programadas para socializar valores (8) </t>
  </si>
  <si>
    <t>1.3</t>
  </si>
  <si>
    <t xml:space="preserve">Subdirecciones de:
Estudios Económicos
y Fiscales, Estadística
y Análisis
Presupuestal y
Financiero y
Evaluación de Política
Pública
</t>
  </si>
  <si>
    <t xml:space="preserve">Socializar los resultados del análisis y evaluación de los siguientes  informes y estudios elaborados en la vigencia 2017: Estado de los Recursos Naturales y del Ambiente de Bogotá D.C., Estados de la Finanzas Públicas del D.C., y el Plan Maestro de Movilidad, en escenarios y espacios tales como: la academia, agremiaciones sectoriales o instituciones referidas por la Dirección de Participación Ciudadana.  </t>
  </si>
  <si>
    <t>Nivel de cumplimiento en la
socialización de los informes y estudios
seleccionados y elaborados en la vigencia 2017</t>
  </si>
  <si>
    <t>Medir el cumplimiento de
las socializaciones
efectuadas a los informes
y estudios seleccionados</t>
  </si>
  <si>
    <t>Número de socializaciones
realizadas *100/Total de informes y
estudios seleccionados (3)</t>
  </si>
  <si>
    <t>Satisfactorio: &gt;=90</t>
  </si>
  <si>
    <t>Subdirección de Evaluación de Política Pública</t>
  </si>
  <si>
    <t>Socializar en las direcciones que hacen parte del PVCGF, la Metodología para la Evaluación Fiscal de las Políticas Públicas Distritales.</t>
  </si>
  <si>
    <t>Nivel de Cumplimiento en la socialización de la Metodología para la Evaluación Fiscal de Políticas Públicas Distritales</t>
  </si>
  <si>
    <t>Medir el cumplimiento en la socialización de la Metodología para la Evaluación Fiscal de Políticas Públicas Distritales</t>
  </si>
  <si>
    <t xml:space="preserve">Número de direcciones que hacen parte del PVCGF socializadas *100 /Total direcciones que hacen parte del PVCGF (12)
</t>
  </si>
  <si>
    <t>Estudios de Economía y Política Pública</t>
  </si>
  <si>
    <t>Subdirección de Estudios Económicos y Fiscales</t>
  </si>
  <si>
    <t xml:space="preserve">Capacitar a los auditores y entes de control sobre la información de la Cuenta Ambiental y Lineamientos </t>
  </si>
  <si>
    <t>Nivel de Cumplimiento en la capacitación de Cuenta Ambiental</t>
  </si>
  <si>
    <t>Medir el cumplimiento de la capacitación en Cuenta Ambiental a los Auditores y Entes de Control</t>
  </si>
  <si>
    <t xml:space="preserve">Número de capacitaciones realizadas *100/Total de capacitaciones programadas (2)
</t>
  </si>
  <si>
    <t xml:space="preserve">Esta actividad presenta un cumplimiento del 100% con relación a la meta, ubicándose en un Rango de calificación SATISFACTORIO, dado que durante el periodo se ejecutaron las dos (2) capacitaciones en tema ambiental programados, así: 
Mediante memorando 2-2017-00544/00563 del 13 de enero de 2017, se corrió invitación a los 20 Alcaldes Locales de la Ciudad, a fin de que asistieran a la capacitación relacionada con la información que deben rendir en la Cuenta Ambiental y Lineamientos a tener en cuenta  para el Plan Ambiental Local-PAL. De igual forma, mediante comunicaciones: 2-2017-00516/00543 del 13 de enero de 2017, se convocaron a funcionarios de entidades del orden Distrital, responsables del Plan de Acción Cuatrienal Ambiental - PACA para que asistieran a dicha capacitación. Actividad realizada en dos jornadas el 18 de enero de 2017 en el Piso 9 Salón de Contralores, donde participaron 58 invitados, según consta en listados de asistencia.
De igual forma mediante comunicaciones:3-2017-00752 y 3-2017-00757 del 16 de enero de 2017,  se convocó  a los Directores Sectoriales,  Subdirectores de Fiscalización, Gerentes y Auditores encargados  de la Evaluación del factor:  Planes, Programas y Proyectos, Componente: Gestión Ambiental, a la capacitación para la Calificación Gestión Ambiental; insumo requerido  para el Informe sobre el Estados de los recursos Naturales y del ambiente de Bogotá Vigencia 2016, con la participación de 98 funcionarios, según consta en listados de asistencia.  </t>
  </si>
  <si>
    <t>1.4</t>
  </si>
  <si>
    <t>Elaborar la Revista "Bogotá Económica", con el desarrollo de temáticas relacionadas con la realidad económica, social y ambiental de Bogotá D. C.</t>
  </si>
  <si>
    <t xml:space="preserve">Nivel de Cumplimiento en la elaboración de la Revista "Bogotá Económica"
</t>
  </si>
  <si>
    <t xml:space="preserve">Medir el cumplimiento en la elaboración de la revista "Bogotá Económica" </t>
  </si>
  <si>
    <t>Revista elaborada.
SI=100%
NO=0%</t>
  </si>
  <si>
    <t xml:space="preserve">El resultado de esta actividad es de 100% de cumplimiento con relación a la meta, ubicándose en un Rango de calificación SATISFACTORIO para el periodo. 
La publicación de la Edición No. 15 de la Revista "Bogotá Económica" se realizó teniendo como Tema “Objetivos de Desarrollo sostenible”, con temas centrales como el ambiental y la educación, entre otros
</t>
  </si>
  <si>
    <t>Mínimo: =0%</t>
  </si>
  <si>
    <t>Subdirecciones de:
Estudios Económicos
y Fiscales, Estadística
y Análisis
Presupuestal y
Financiero y
Evaluación de Política
Pública</t>
  </si>
  <si>
    <t>Realizar encuesta con el fin de conocer la percepción que tienen los participantes sobre los informes socializados durante la vigencia.</t>
  </si>
  <si>
    <t xml:space="preserve">Percepción de los participantes acerca del impacto de los informes socializados durante la vigencia.  </t>
  </si>
  <si>
    <t>Medir la percepción que tienen los participantes sobre la calidad de los productos socializados.</t>
  </si>
  <si>
    <t>No. De participantes  encuestados que tienen percepción positiva sobre el impacto de los informes socializados*100/ Total de encuestas aplicadas en la socialización de los productos en la vigencia.</t>
  </si>
  <si>
    <t>Mínimo: &lt;50%</t>
  </si>
  <si>
    <t>Aceptable. &gt;=500 y &lt;70%.</t>
  </si>
  <si>
    <t>Satisfactorio: &gt;=70%</t>
  </si>
  <si>
    <t>Direccionamiento Estratégico</t>
  </si>
  <si>
    <t>Dirección de Planeación</t>
  </si>
  <si>
    <t xml:space="preserve">Mantener la certificación al Sistema de Gestión de la Calidad - SGC bajo los requisitos de las normas ISO 9001:2008 y GP 1000:2009, a  través de la implementación de un plan de trabajo como instrumento para contar con estándares de calidad para la generación de  los productos de la Contraloría de Bogotá. </t>
  </si>
  <si>
    <t>Nivel de  cumplimiento del  plan de trabajo para el mantenimiento de la certificación.</t>
  </si>
  <si>
    <t>Medir el cumplimiento de las actividades tendientes al mantenimiento de la certificación.</t>
  </si>
  <si>
    <t>Número de actividades ejecutadas * 100/ Número de actividades programadas en el plan de trabajo</t>
  </si>
  <si>
    <t>Actualizar  el Sistema de Gestión de Calidad bajo los requisitos de la ISO 9001:2015, a través de la implementación de un plan de trabajo que permita contar con instrumentos para el mejoramiento continuo de la Entidad</t>
  </si>
  <si>
    <t>Nivel de  cumplimiento del  plan de trabajo para actualizar  el Sistema de Gestión de Calidad bajo los requisitos de la ISO 9001:2015.</t>
  </si>
  <si>
    <t>Medir el cumplimiento de las actividades encaminadas a actualizar  el Sistema de Gestión de Calidad bajo los requisitos de la ISO 9001:2015.</t>
  </si>
  <si>
    <t>Número de actividades ejecutadas * 100/ Número de actividades programadas en el Plan de trabajo</t>
  </si>
  <si>
    <t xml:space="preserve"> _</t>
  </si>
  <si>
    <t>Implementar un tablero de control con indicadores estratégicos que permita medir  el cumplimiento del Plan Estratégico de la Entidad.</t>
  </si>
  <si>
    <t>Nivel de  cumplimiento en la implementación del tablero de control</t>
  </si>
  <si>
    <t>Medir el cumplimiento en la implementación del tablero de control</t>
  </si>
  <si>
    <t>Se implementó el tablero de control?:
SI. 100%
No: 0%</t>
  </si>
  <si>
    <t>1.1</t>
  </si>
  <si>
    <t>PVCGF</t>
  </si>
  <si>
    <t>Direcciones Sectoriales de Fiscalización</t>
  </si>
  <si>
    <t>Evaluar la gestión fiscal de los sujetos de control de  su competencia.</t>
  </si>
  <si>
    <t>Cobertura en la vigilancia y control a la gestión fiscal del D.C.</t>
  </si>
  <si>
    <t>Medir la cobertura del control fiscal en los sujetos de control y particulares que manejan fondos o bienes del Distrito Capital.</t>
  </si>
  <si>
    <t>No. sujetos de control auditados mediante cualquier modalidad de auditoria en la vigencia *100/Total de sujetos de control de la CB determinados en la resolución vigente.</t>
  </si>
  <si>
    <t>&gt;=80% y &lt;90%</t>
  </si>
  <si>
    <t xml:space="preserve"> &gt;=90%</t>
  </si>
  <si>
    <t>Despacho Contralor Auxiliar, Dirección de Planeación y Direcciones Sectoriales de Fiscalización</t>
  </si>
  <si>
    <t>Actualizar la metodología para la calificación de la Gestión Fiscal MCGF, con la participación de las Direcciones Sectoriales</t>
  </si>
  <si>
    <t>Cumplimiento en la actualización de  la MCGF</t>
  </si>
  <si>
    <t>Medir el cumplimiento en la actualización y simplificación de los factores que componen la MCGF.</t>
  </si>
  <si>
    <t># de factores actualizados *100 / # de factores vigentes</t>
  </si>
  <si>
    <t>Tramitar con criterios técnicos y oportunidad los hallazgos con incidencia fiscal, producto de las auditorias o de cualquier otra actuación de control fiscal realizadas en la vigencia.</t>
  </si>
  <si>
    <t>Oportunidad en el traslado de hallazgos fiscales</t>
  </si>
  <si>
    <t>Medir la oportunidad en el traslado de hallazgos fiscales a la DRFJC generados durante la vigencia.</t>
  </si>
  <si>
    <t>No. Hallazgos fiscales determinados en la vigencia trasladados a la Dirección de RFJC  en los términos establecidos * 100 / No. Hallazgos fiscales registrados en informes finales de auditoria comunicados en la vigencia.</t>
  </si>
  <si>
    <t>&lt;75%</t>
  </si>
  <si>
    <t>&gt;=75% y &lt;90%</t>
  </si>
  <si>
    <t>Tramitar con criterios técnicos y de calidad los hallazgos con incidencia fiscal.</t>
  </si>
  <si>
    <t>Efectividad de los hallazgos fiscales trasladados a la DRFJC</t>
  </si>
  <si>
    <t>Medir la calidad de los hallazgos fiscales trasladados a la Dirección de Responsabilidad Fiscal y Jurisdicción Coactiva.</t>
  </si>
  <si>
    <t>&gt;60%</t>
  </si>
  <si>
    <t>&gt;40% y &lt;= 60%</t>
  </si>
  <si>
    <t>&lt;=40%</t>
  </si>
  <si>
    <t>Direcciones Sectoriales</t>
  </si>
  <si>
    <t>Efectividad de los hallazgos fiscales devueltos por la DRFJC</t>
  </si>
  <si>
    <t xml:space="preserve">Medir la calidad de los hallazgos fiscales devueltos por la  DRFJC </t>
  </si>
  <si>
    <t>Dirección de Reacción Inmediata</t>
  </si>
  <si>
    <t>Realizar actuaciones de control fiscal que aseguren una reacción inmediata efectiva</t>
  </si>
  <si>
    <t>Eficacia en la realización de actuaciones del DRI</t>
  </si>
  <si>
    <t>Medir el grado de ejecución de las indagaciones preliminares, visitas de control fiscal y auditorias que adelante la Dirección de Reacción Inmediata -DRI.</t>
  </si>
  <si>
    <t>Indagaciones preliminares mas visitas de control fiscal más auditorias terminadas por el DRI en la vigencia*100 / Indagaciones preliminares mas visitas de control fiscal más auditorias iniciadas por el DRI en la vigencia*100</t>
  </si>
  <si>
    <t>&gt;=60% y &lt; 80%</t>
  </si>
  <si>
    <t>&gt;=80%</t>
  </si>
  <si>
    <t>Direcciones Sectoriales Y Dirección de Reacción Inmediata</t>
  </si>
  <si>
    <t>Tramitar las Indagaciones preliminares atendiendo lo establecido en la  Ley 610 de 2000.</t>
  </si>
  <si>
    <t>Oportunidad en el tramite de las Indagaciones Preliminares Terminadas</t>
  </si>
  <si>
    <t>Medir el tiempo que se utiliza para el trámite de la Indagación Preliminar.</t>
  </si>
  <si>
    <t>Promedio de días utilizados en el trámite de las Indagaciones Preliminares Terminadas</t>
  </si>
  <si>
    <t>Días</t>
  </si>
  <si>
    <t>&gt;180</t>
  </si>
  <si>
    <t>&gt;120 y &lt;= 180</t>
  </si>
  <si>
    <t>&lt;=120</t>
  </si>
  <si>
    <t>1.5</t>
  </si>
  <si>
    <t>Realizar actividades de sensibilización a las direcciones integrantes del Proceso de Vigilancia y Control a la Gestión Fiscal, sobre la metodología de los Beneficios del Control Fiscal.</t>
  </si>
  <si>
    <t>Cubrimiento de las actividades de sensibilización sobre Beneficios de Control Fiscal</t>
  </si>
  <si>
    <t xml:space="preserve">Medir el cubrimiento  de las dependencias integrantes del proceso mediante actividades tendientes a sensibilizar sobre Beneficios de Control Fiscal </t>
  </si>
  <si>
    <t>No. de Direcciones integrantes del PVCGF que recibieron sensibilización sobre Beneficios de Control Fiscal * 100/ No. total de direcciones  integrantes del Proceso de VCGF</t>
  </si>
  <si>
    <t>Subdirección de Análisis, Estadísticas e Indicadores</t>
  </si>
  <si>
    <t>Generar boletines que sirvan de soporte técnico y apoyo al ejercicio del control fiscal.</t>
  </si>
  <si>
    <t>Grado de cumplimiento en la emisión de boletines por la Subdirección de Análisis Estadísticas e Indicadores</t>
  </si>
  <si>
    <t>Medir  el grado de emisión de boletines</t>
  </si>
  <si>
    <t>No de boletines emitidos * 100 /No. De boletines programados en la vigencia. Para el 2017 corresponde a 7, uno cada dos meses y el consolidado de la vigencia.</t>
  </si>
  <si>
    <t xml:space="preserve"> </t>
  </si>
  <si>
    <t>Gestión de Tecnologías de la Información y las Comunicaciones</t>
  </si>
  <si>
    <t>Dirección de Tecnologías de la Información y las Comunicaciones</t>
  </si>
  <si>
    <t>Elaborar  un estudio técnico que contenga el diagnóstico, necesidades, especificaciones técnicas y alternativas de solución para la implementación de un Sistema Integrado de Control Fiscal para la Contraloría de Bogotá.</t>
  </si>
  <si>
    <t>Nivel de cumplimiento en la elaboración de un estudio técnico para la Implementación de un Sistema Integrado de Control Fiscal para la CB.</t>
  </si>
  <si>
    <t>Medir el cumplimiento en la elaboración del estudio técnico</t>
  </si>
  <si>
    <t>No. de actividades ejecutadas en el  plan de trabajo  * 100 / No. de actividades programadas en el plan de trabajo para la elaboración del estudio técnico.</t>
  </si>
  <si>
    <t>Implementar  y/o actualizar 10 soluciones tecnológicas (hardware y/o software) que permitan mejorar la gestión de los procesos y la generación de servicios y productos con mayor calidad y oportunidad en la Entidad.</t>
  </si>
  <si>
    <t>Nivel de cumplimiento en la implementación y/o  actualización de soluciones tecnológicas.</t>
  </si>
  <si>
    <t xml:space="preserve">Medir el avance en la implementación  y/o actualización de soluciones tecnológicas que fortalezcan la infraestructura tecnológica de la CB. </t>
  </si>
  <si>
    <t>Número de soluciones tecnológicas implementadas  y/o  actualizadas   * 100/ Número de soluciones tecnológicas programadas a implementar y/o actualizar</t>
  </si>
  <si>
    <t>5.2</t>
  </si>
  <si>
    <t>Desarrollar las actividades de la fase 2 - planificación del Sistema de Seguridad y Privacidad de la Información para la Contraloría de Bogotá conforme al modelo del MINITIC, con el fin de garantizar la confidencialidad, integralidad y disponibilidad de la información.</t>
  </si>
  <si>
    <t xml:space="preserve">Nivel de cumplimiento en el desarrollo de la fases - planificación del Modelo de Seguridad y Privacidad de  la Información para la CB </t>
  </si>
  <si>
    <t>Medir el cumplimiento de las actividades programadas en el Plan de Trabajo establecido para el desarrollo de la Fase 2 - planificación del Modelo de Seguridad y Privacidad de la Información.</t>
  </si>
  <si>
    <t>No de actividades ejecutadas *100/ No. de Actividades programadas en el plan de trabajo para el desarrollo de la fase 2.</t>
  </si>
  <si>
    <t>5.3</t>
  </si>
  <si>
    <t>Ejecutar el plan de trabajo orientado a Implementación de  la Estrategia de Gobierno en Línea GEL- en lo referente a  los ejes temáticos TIC para servicios, TIC para la gestión y TIC para gobierno abierto, de acuerdo a los plazos establecidos en el Decreto 1078-2015 de MINTIC.</t>
  </si>
  <si>
    <t>Nivel de cumplimiento en la Implementación de la Estrategia de Gobierno en Línea en la CB.</t>
  </si>
  <si>
    <t>Medir el avance en la implementación de la Estrategia de Gobierno en Línea ( Decreto 1078-2015  de MINTIC) en la CB.</t>
  </si>
  <si>
    <t>Numero de actividades ejecutadas  *100  / No. total de actividades establecidas  en la GEL para los 3 ejes temáticos</t>
  </si>
  <si>
    <t>5.1</t>
  </si>
  <si>
    <t xml:space="preserve">Ejecutar los recursos asignados al proyecto de inversión 1194 " Fortalecimiento de la  infraestructura de tecnologías de la información y las comunicaciones de la Contraloría de Bogotá D. C.".
</t>
  </si>
  <si>
    <t xml:space="preserve">Nivel de cumplimiento en la ejecución de los recursos  del proyecto de inversión 1194.   </t>
  </si>
  <si>
    <t>Medir la eficacia en la ejecución de los recursos asignados al proyecto de inversión 1194.</t>
  </si>
  <si>
    <t>Total del Presupuesto ejecutado* 100 / Total Presupuesto asignado</t>
  </si>
  <si>
    <t xml:space="preserve">Atender los requerimientos efectuados por los usuarios de las dependencias de la entidad, en lo referente a sistemas de información y equipos informáticos. 
</t>
  </si>
  <si>
    <t>Nivel de cumplimiento en la atención a los requerimientos de soporte de sistemas de información y equipos informáticos, efectuados por los usuarios de las dependencias de la entidad de acuerdo con los tiempos establecidos</t>
  </si>
  <si>
    <t>Medir la oportunidad en la atención de los requerimientos de soporte de sistemas de información y  equipos informáticos, efectuados por los usuarios de  las dependencias de la Entidad.</t>
  </si>
  <si>
    <t>Número de requerimientos de soporte de sistemas de información y  equipos informáticos, atendidos dentro del tiempo establecido  * 100 / Numero de requerimientos de soporte de sistemas de información y  equipos informáticos efectuados durante el periodo.</t>
  </si>
  <si>
    <t>Mínimo: &lt;70%</t>
  </si>
  <si>
    <t>Aceptable. &gt;=70 y &lt;80%.</t>
  </si>
  <si>
    <t>Satisfactorio: &gt;=80</t>
  </si>
  <si>
    <t xml:space="preserve">El resultado de esta actividad es de 123% de cumplimiento con relación a la meta, ubicándose en un Rango de calificación SATISFACTORIO para el periodo, al obtener que un 86% de los encuestados tienen una percepción favorable sobre los informes socializados, frente al 70% de la meta. 
El 19 de diciembre de 2017 en la socialización de los informes, se realizó la encuesta de percepción. Para ello, se seleccionó una metodología innovadora basada en preguntas específicas sobre el contenido del documento, las cuales fueron respondidas en un tablero dispuesto en forma de pista (fotografía). Las preguntas se aplicaron al inicio de la socialización, con el propósito de conocer la percepción de los asistentes y al finalizar la socialización, se realizaron nuevamente las preguntas. Como resultado se obtuvo que la ubicación de las respuestas fue modificada, obteniendo que la información presentada durante la socialización fue comprendida por los participantes.
 Para conocer la percepción del Informe del Estado de las Finanzas se diseñó una encuesta en línea, a través de google formularios, con el objeto de tabular la percepción de los participantes en la socialización, con un resultado de 16 encuestados.
</t>
  </si>
  <si>
    <t xml:space="preserve">La cobertura en la vigilancia y control a la gestión fiscal del D.C. fue del 81%, ubicándose en rango aceptable, toda vez que hace falta auditar 18 Sujetos de Control de los asignados mediante Resolución 026 de 2017, cuya fecha de culminación es hasta el 31 de enero de 2018.
</t>
  </si>
  <si>
    <t>Evaluación y Control</t>
  </si>
  <si>
    <t>Oficina de Control Interno</t>
  </si>
  <si>
    <t>Ejecutar  las auditorías internas  establecidas en el Programa Anual de Auditorías Internas</t>
  </si>
  <si>
    <t xml:space="preserve">Nivel de Cumplimiento  auditorías internas  </t>
  </si>
  <si>
    <t xml:space="preserve">Medir el cumplimiento en la ejecución de las auditorías internas programadas en el PAAI de la vigencia </t>
  </si>
  <si>
    <t>Número de auditorías internas  realizadas * 100 / Total Número de auditorías  programadas y aprobadas en el PAAI</t>
  </si>
  <si>
    <t>&gt;=90% y =100%</t>
  </si>
  <si>
    <t>Realizar verificaciones a planes de mejoramiento establecidas en el  Programa Anual de Auditorías Internas</t>
  </si>
  <si>
    <t>Nivel de  cumplimiento de los planes de Mejoramiento</t>
  </si>
  <si>
    <t xml:space="preserve">Establecer el avance en la ejecución de  los planes de mejoramiento  programados en el PAAI de la vigencia </t>
  </si>
  <si>
    <t xml:space="preserve">Número de verificaciones realizadas a los planes de mejoramiento  *100 / Número total de verificaciones programadas y aprobadas  a los planes de mejoramiento </t>
  </si>
  <si>
    <t xml:space="preserve">Medir el cumplimiento de las actividades de sensibilización sobre la cultura del autocontrol y autoevaluación  programadas en el PAAI de la vigencia </t>
  </si>
  <si>
    <t>Número de actividades adelantadas de sensibilización sobre la cultura de autocontrol y autoevaluación  *100 / Número total  de actividades programadas y aprobadas de sensibilización en fomento de la cultura de autocontrol y autoevaluación</t>
  </si>
  <si>
    <t>Verificar el Mapa de Riesgos por procesos, según lo  establecido  en el Programa Anual de Auditorías Internas</t>
  </si>
  <si>
    <t>Grado de cumplimiento  de las acciones del  Mapa de Riesgos Institucional y  por procesos</t>
  </si>
  <si>
    <t xml:space="preserve">Establecer el avance en la ejecución de las acciones formuladas en mapa de riesgos  institucional a través de las  verificaciones a los mapas de riesgos por procesos programados en el PAAI de la vigencia </t>
  </si>
  <si>
    <t>Número de verificaciones realizadas al Mapa de Riesgos por procesos  *100 / Número de verificaciones programadas y aprobadas al Mapa de Riesgos por procesos</t>
  </si>
  <si>
    <t>Presentación de informes a entes externos y de Control.</t>
  </si>
  <si>
    <t>Cumplimiento presentación de informes a entes externos</t>
  </si>
  <si>
    <t xml:space="preserve">Establecer el cumplimiento en los informes reportados a entes externos, programadas en el PAAI de la vigencia </t>
  </si>
  <si>
    <t>Número de informes establecidos por ley presentados a entes externos * 100 / Número de informes establecidos por Ley</t>
  </si>
  <si>
    <t>4.5</t>
  </si>
  <si>
    <t>Gestión Administrativa y Financiera</t>
  </si>
  <si>
    <t>Subdirección Financiera</t>
  </si>
  <si>
    <t>Realizar  el seguimiento a la Ejecución Presupuestal.</t>
  </si>
  <si>
    <t>Nivel de cumplimiento en el seguimiento a la ejecución Presupuestal</t>
  </si>
  <si>
    <t>Medir el cumplimiento en el seguimiento a la ejecución presupuestal.</t>
  </si>
  <si>
    <t xml:space="preserve">Valor total compromisos presupuestales * 100 / Total Presupuesto definitivo de la vigencia </t>
  </si>
  <si>
    <t xml:space="preserve">Realizar  control y seguimiento de los recursos para el pago de las obligaciones financieras  </t>
  </si>
  <si>
    <t>Nivel de cumplimiento en el seguimiento a la  Ejecución del PAC</t>
  </si>
  <si>
    <t xml:space="preserve">Valor  ejecutado del PAC * 100/ Total del PAC programado. </t>
  </si>
  <si>
    <t>Reportar la información de los Estados Financieros de manera oportuna y confiable a SHD (4 Estados Financieros).</t>
  </si>
  <si>
    <t>Nivel de cumplimiento en el  reporte de los Estados Financieros.</t>
  </si>
  <si>
    <t>Medir el cumplimiento en el reporte de la información de los Estados Financieros.</t>
  </si>
  <si>
    <t xml:space="preserve">Estados Financieros reportados * 100/ Estados Financieros a reportar </t>
  </si>
  <si>
    <t xml:space="preserve"> =100%</t>
  </si>
  <si>
    <t>Subdirección de Contratación</t>
  </si>
  <si>
    <t>Suscribir los contratos previstos en el Plan Anual de Adquisiciones, de acuerdo con las necesidades presentadas por cada una de las Dependencias de la entidad.</t>
  </si>
  <si>
    <t xml:space="preserve">Nivel de cumplimiento en la ejecución del Plan Anual de Adquisiciones. </t>
  </si>
  <si>
    <t>Medir la eficacia en la ejecución del Plan Anual de Adquisiciones de la Contraloría de Bogotá.</t>
  </si>
  <si>
    <t>Número de contratos suscritos previstos en el PAA * 100/Total de contratos a suscribir proyectados en el PAA</t>
  </si>
  <si>
    <t>Valor del presupuesto ejecutado del PAA más adiciones *100 / Valor del presupuesto programado a ejecutar en el PAA</t>
  </si>
  <si>
    <t xml:space="preserve">Subdirección de Servicios Generales </t>
  </si>
  <si>
    <t>Realizar  encuestas con el fin de medir la percepción de los  clientes internos atendidos  frente a la provisión del servicio de transporte.</t>
  </si>
  <si>
    <t>Nivel de satisfacción del cliente interno en la provisión de servicios de transporte</t>
  </si>
  <si>
    <t>Medir el nivel de satisfacción de los clientes internos atendidos  frente a la provisión del servicio de transporte</t>
  </si>
  <si>
    <t>No. de encuestados usuarios del servicio que califican como satisfactorio la prestación del servicio * 100% / Total de encuestados que calificaron el servicio de transporte.</t>
  </si>
  <si>
    <t>&lt;70%</t>
  </si>
  <si>
    <t>&gt;=70% y &lt;90%</t>
  </si>
  <si>
    <t>Realizar  encuesta con el fin de medir la percepción de los de los clientes internos atendidos    frente a la provisión del servicio de Aseo y Cafetería.</t>
  </si>
  <si>
    <t>No. de encuestados que califican como satisfactorio  la prestación del servicio *100% / Total de encuestados que calificaron el servicio de aseo y cafetería</t>
  </si>
  <si>
    <t>Subdirección de Recursos Materiales</t>
  </si>
  <si>
    <t>Tramitar las solicitudes para el suministro de elementos de consumo.</t>
  </si>
  <si>
    <t>Medir la oportunidad en el tiempo de atención de las solicitudes de   elementos de consumo.</t>
  </si>
  <si>
    <t>Promedio de tiempo utilizado en  atender las solicitudes de suministro de elementos de consumo,  desde la fecha de solicitud hasta la atención del mismo.</t>
  </si>
  <si>
    <t>N/A</t>
  </si>
  <si>
    <t>Nivel de cumplimiento en la ejecución de los recursos del proyecto de inversión 1195.</t>
  </si>
  <si>
    <t>Medir la eficacia en la ejecución de los recursos asignados a la meta 2 del proyecto de inversión 1195 establecidos en la implementación de los programas ambientales del PIGA.</t>
  </si>
  <si>
    <t>&lt;=70%</t>
  </si>
  <si>
    <t>&gt; 70% y &lt;90%</t>
  </si>
  <si>
    <t xml:space="preserve">
Nivel de cumplimiento de la adquisición de vehículos
</t>
  </si>
  <si>
    <t>Vehículos Adquiridos *100/ Total de vehículos Programados</t>
  </si>
  <si>
    <t>&gt; 80% y &lt;90%</t>
  </si>
  <si>
    <t>Ejecutar los recursos asignados a la meta No. 1 del proyecto de inversión 1196, Adecuar sedes y áreas de trabajo de la Contraloría de Bogotá.</t>
  </si>
  <si>
    <t>Nivel de cumplimiento en la ejecución de los recursos de la meta 1 del proyecto de inversión 1196.</t>
  </si>
  <si>
    <t>Medir la eficacia en la ejecución de los recursos asignados a la meta 1 del proyecto de inversión 1196.</t>
  </si>
  <si>
    <t xml:space="preserve">Recursos Ejecutados *100 / Total de recursos asignados a la meta 1. </t>
  </si>
  <si>
    <t>&gt;=70% y &lt; 90%</t>
  </si>
  <si>
    <t>&lt;20%</t>
  </si>
  <si>
    <t>&gt;=20% y &lt; 40%</t>
  </si>
  <si>
    <t>&gt;=40%</t>
  </si>
  <si>
    <t>&gt;=60% y &lt;80%</t>
  </si>
  <si>
    <t>&lt;30%</t>
  </si>
  <si>
    <t>&gt;=30% y &lt;50%</t>
  </si>
  <si>
    <t>&gt;=50%</t>
  </si>
  <si>
    <t>&gt;=80% y &lt; 90%</t>
  </si>
  <si>
    <t>&gt;=70%  y &lt;80%</t>
  </si>
  <si>
    <t>***</t>
  </si>
  <si>
    <t>Adquirir vehículos para el ejercicio de la función de vigilancia y control a la gestión fiscal.</t>
  </si>
  <si>
    <t>Durante la vigencia 2017, se aprovecharon las reuniones con los Gestores del Proceso para sensibilizar el tema de los beneficios del control fiscal, en lo que se refiere a su origen y aprobación por parte del Nivel Directivo de cada Dependencia y el respectivo reporte con el total de sus soportes a la Dirección de Planeación, con el fin de emitir los boletines en la página de la Entidad. En la última reunión de ellas se habló de la modificación del procedimiento actual, en lo que se refiere a su clasificación, por lo tanto se cumplió con la meta del 100%, ubicándose en un rango satisfactorio.</t>
  </si>
  <si>
    <t>Código formato: PDE-01-003</t>
  </si>
  <si>
    <t>Código documento: PDE-01
Versión 12.0</t>
  </si>
  <si>
    <r>
      <t>Proferir decisión ejecutoriada  de conformidad con  los Artículos 16,  47, 53, 54  de la  Ley 610 de 2000 y 111 de la Ley 1474 de 2011, para evitar el fenómeno jurídico de la prescripción, siempre y cuando las posibilidades legales lo permitan en los procesos de responsabilidad fiscal de las vigenci</t>
    </r>
    <r>
      <rPr>
        <sz val="10"/>
        <color theme="1"/>
        <rFont val="Arial"/>
        <family val="2"/>
      </rPr>
      <t>as 2012 y 2013</t>
    </r>
  </si>
  <si>
    <r>
      <rPr>
        <b/>
        <sz val="9"/>
        <rFont val="Arial"/>
        <family val="2"/>
      </rPr>
      <t>Sgto. Dic(2017.</t>
    </r>
    <r>
      <rPr>
        <sz val="9"/>
        <rFont val="Arial"/>
        <family val="2"/>
      </rPr>
      <t xml:space="preserve"> El nivel de cumplimiento en la ejecución del plan de trabajo para el mantenimiento de la certificación fue del 100%, ubicándose en rango Satisfactorio; dado que se ejecutaron las 6 actividades previstas para asegurar el mantenimiento de la certificación de calidad, así:  
1. Se coordinó con la firma certificadora y Dirección Administrativa la suscripción del contrato.
2. Se coordinó con la Oficina de Control Interno la realización de la auditoría interna de calidad, la cual se realizó del 13 al 24 de marzo de 2017.
3. Mediante memorando No. 3-2017-09937 del 20/04/2017, Se expidieron los lineamientos para la revisión por la dirección, la cual se realizó el 28 de abril de 2017. (Acta No. 2 - Comité Directivo).
4. La Dirección de Planeación mediante memorando 3-2017-10852 del 02/05/2017, informó a las dependencias de la Entidad, el desarrollo de la campaña masiva del SIG, revisión de documentos y registros según listado maestro de documentos y tablas de retención documental.
5. La auditoría externa de calidad se realizó durante los días 9, 10, 11 y 12 de mayo de 2017, en la cual se atendió y garantizó el suministro de información al auditor externo de calidad.
6. Mediante memorando 3-2017-12276 se comunicó al Oficina de Control Interno la necesidad de implementar acciones correctivas producto de la No Conformidad detectado por la firma certificadora.
Terminada la auditoría externa, el equipo auditor concluye que  la Entidad ha establecido y mantenido su sistema de gestión de acuerdo con los requisitos de la norma y demostrado la capacidad del sistema para alcanzar sistemáticamente los requisitos establecidos para los productos o los servicios dentro del alcance y los objetivos de la política de la organización.</t>
    </r>
  </si>
  <si>
    <r>
      <rPr>
        <b/>
        <sz val="9"/>
        <rFont val="Arial"/>
        <family val="2"/>
      </rPr>
      <t>Sgto. Dic./2017.</t>
    </r>
    <r>
      <rPr>
        <sz val="9"/>
        <rFont val="Arial"/>
        <family val="2"/>
      </rPr>
      <t xml:space="preserve"> El nivel de cumplimiento en la ejecución del plan de trabajo para actualizar el Sistema de Gestión de Calidad bajo los requisitos de la NTC ISO 9001:2015 fue del 100%,  ubicándose en rango Satisfactorio; dado que se ejecutaron las 10 actividades programadas para la vigencia, así:
1. Solicitud de recursos para la implementación de los cambios.
2. Mapa de procesos. Mediante acta No. 13 del 13/06/2017, se aprobaron los cambios al mapa de procesos de la Entidad.
3. Diagnóstico de identificación de brechas: 4. Contexto de la Organización, 5. Liderazgo, 6. Planificación, 7. Apoyo, 8. Operación, 9. Evaluación de desempeño y 10. Mejora. 
4. Ajuste del procedimiento para el manejo de los documentos y caracterizaciones de los procesos del SIG.
5. Presentación a responsables y  gestores de procesos. (Memorando 3-2017--23028 del 31/08/2017).
6. Directrices o lineamientos de la alta dirección (cronograma de ajustes).
7. Implementación de acciones generadas del  diagnóstico. 
8. Se realizó campaña de divulgación y socialización de cambios al sistema, dirigida a todas las dependencias de la Entidad. (memorando 3-2017-30269 del 09(11/2017).
9. Pre auditoría GAT. El día 11/12/2017 la firma certificadora realizó a la alta dirección la socialización de pre auditoria.
10. La ejecución de la misma se realizó los días 13, 14 y 19 de diciembre de 2017.</t>
    </r>
  </si>
  <si>
    <r>
      <t xml:space="preserve">Seguimiento Diciembre:
El nivel de cumplimiento fue satisfactorio, pues de las 6 campañas  de comunicación  programadas para el fortalecimiento de la imagen institucional y divulgación de la gestión de la entidad, se ejecutaron  6 por lo tanto, el cumplimiento fue del cien por ciento y corresponden a: 1. Comunícate a través de la cual se han enviado </t>
    </r>
    <r>
      <rPr>
        <b/>
        <sz val="9"/>
        <color indexed="8"/>
        <rFont val="Arial"/>
        <family val="2"/>
      </rPr>
      <t>202</t>
    </r>
    <r>
      <rPr>
        <sz val="9"/>
        <color indexed="8"/>
        <rFont val="Arial"/>
        <family val="2"/>
      </rPr>
      <t xml:space="preserve"> Noticontrol,</t>
    </r>
    <r>
      <rPr>
        <b/>
        <sz val="9"/>
        <color indexed="8"/>
        <rFont val="Arial"/>
        <family val="2"/>
      </rPr>
      <t>940</t>
    </r>
    <r>
      <rPr>
        <sz val="9"/>
        <color indexed="8"/>
        <rFont val="Arial"/>
        <family val="2"/>
      </rPr>
      <t xml:space="preserve"> E-card y se han publicado </t>
    </r>
    <r>
      <rPr>
        <b/>
        <sz val="9"/>
        <color indexed="8"/>
        <rFont val="Arial"/>
        <family val="2"/>
      </rPr>
      <t>182</t>
    </r>
    <r>
      <rPr>
        <sz val="9"/>
        <color indexed="8"/>
        <rFont val="Arial"/>
        <family val="2"/>
      </rPr>
      <t xml:space="preserve"> mensajes por el video Wall. 2.Identíficate promueve el sentido de pertenencia. 3. Choca esos Cinco relacionada con valores institucionales y buen trato. 4. Redes Sociales denominada súmate a las Redes del Control 5. Conociendo nuestra entidad. promocionó la resolución a través de la cual se clasificaron y asignaron por sectores los sujetos de vigilancia y control fiscal.  6. Promoción institucional  se divulgó por  free press </t>
    </r>
    <r>
      <rPr>
        <b/>
        <sz val="9"/>
        <color indexed="8"/>
        <rFont val="Arial"/>
        <family val="2"/>
      </rPr>
      <t>28</t>
    </r>
    <r>
      <rPr>
        <sz val="9"/>
        <color indexed="8"/>
        <rFont val="Arial"/>
        <family val="2"/>
      </rPr>
      <t xml:space="preserve"> comunicaciones oficiales,  de los cuales  ocho </t>
    </r>
    <r>
      <rPr>
        <b/>
        <sz val="9"/>
        <color indexed="8"/>
        <rFont val="Arial"/>
        <family val="2"/>
      </rPr>
      <t>(8)</t>
    </r>
    <r>
      <rPr>
        <sz val="9"/>
        <color indexed="8"/>
        <rFont val="Arial"/>
        <family val="2"/>
      </rPr>
      <t xml:space="preserve"> son boletines de prensa,  </t>
    </r>
    <r>
      <rPr>
        <b/>
        <sz val="9"/>
        <color indexed="8"/>
        <rFont val="Arial"/>
        <family val="2"/>
      </rPr>
      <t>(20</t>
    </r>
    <r>
      <rPr>
        <sz val="9"/>
        <color indexed="8"/>
        <rFont val="Arial"/>
        <family val="2"/>
      </rPr>
      <t xml:space="preserve">) noticias web, se obtuvo </t>
    </r>
    <r>
      <rPr>
        <b/>
        <sz val="9"/>
        <color indexed="8"/>
        <rFont val="Arial"/>
        <family val="2"/>
      </rPr>
      <t>1159</t>
    </r>
    <r>
      <rPr>
        <sz val="9"/>
        <color indexed="8"/>
        <rFont val="Arial"/>
        <family val="2"/>
      </rPr>
      <t xml:space="preserve"> registros en medios.  Se editó tres</t>
    </r>
    <r>
      <rPr>
        <b/>
        <sz val="9"/>
        <color indexed="8"/>
        <rFont val="Arial"/>
        <family val="2"/>
      </rPr>
      <t xml:space="preserve"> (3)</t>
    </r>
    <r>
      <rPr>
        <sz val="9"/>
        <color indexed="8"/>
        <rFont val="Arial"/>
        <family val="2"/>
      </rPr>
      <t xml:space="preserve"> número del periódico institucional Control Capital y en redes sociales se publicaron </t>
    </r>
    <r>
      <rPr>
        <sz val="9"/>
        <color indexed="10"/>
        <rFont val="Arial"/>
        <family val="2"/>
      </rPr>
      <t>1.166</t>
    </r>
    <r>
      <rPr>
        <sz val="9"/>
        <color indexed="8"/>
        <rFont val="Arial"/>
        <family val="2"/>
      </rPr>
      <t xml:space="preserve"> mensajes institucionales, entre otras. Igualmente, se actualizó el  portal web </t>
    </r>
    <r>
      <rPr>
        <b/>
        <sz val="9"/>
        <color indexed="8"/>
        <rFont val="Arial"/>
        <family val="2"/>
      </rPr>
      <t xml:space="preserve">137 </t>
    </r>
    <r>
      <rPr>
        <sz val="9"/>
        <color indexed="8"/>
        <rFont val="Arial"/>
        <family val="2"/>
      </rPr>
      <t xml:space="preserve">y  Monitoreo medios noticias </t>
    </r>
    <r>
      <rPr>
        <b/>
        <sz val="9"/>
        <color indexed="8"/>
        <rFont val="Arial"/>
        <family val="2"/>
      </rPr>
      <t>10262</t>
    </r>
    <r>
      <rPr>
        <sz val="9"/>
        <color indexed="8"/>
        <rFont val="Arial"/>
        <family val="2"/>
      </rPr>
      <t xml:space="preserve"> reportes. Se han realizado fotos, Se ha realizado apoyo a las demás dependencias en campañas como el Piga, PISV, entre otros. </t>
    </r>
  </si>
  <si>
    <r>
      <rPr>
        <b/>
        <sz val="9"/>
        <rFont val="Arial"/>
        <family val="2"/>
      </rPr>
      <t xml:space="preserve">4to Trimestre: </t>
    </r>
    <r>
      <rPr>
        <sz val="9"/>
        <rFont val="Arial"/>
        <family val="2"/>
      </rPr>
      <t xml:space="preserve">Se decretaron 27 Medidas Cautelares de 27 Procesos con información patrimonial positiva, los cuales corresponden a la Subdirección de Responsabilidad Fiscal.
</t>
    </r>
    <r>
      <rPr>
        <b/>
        <sz val="9"/>
        <rFont val="Arial"/>
        <family val="2"/>
      </rPr>
      <t xml:space="preserve">Durante el año 2017: </t>
    </r>
    <r>
      <rPr>
        <sz val="9"/>
        <rFont val="Arial"/>
        <family val="2"/>
      </rPr>
      <t xml:space="preserve">Se decretaron en total 43 Medidas Cautelares de 43 Procesos con información patrimonial positiva, de los cuales uno (1) corresponde a la Dirección de Responsabilidad Fiscal y cuarenta y dos (42) a la Subdirección de Responsabilidad Fiscal. 
</t>
    </r>
    <r>
      <rPr>
        <b/>
        <sz val="9"/>
        <rFont val="Arial"/>
        <family val="2"/>
      </rPr>
      <t>El resultado del indicador es Satisfactorio</t>
    </r>
    <r>
      <rPr>
        <sz val="9"/>
        <rFont val="Arial"/>
        <family val="2"/>
      </rPr>
      <t>, por cumplir la meta propuesta, 100%.</t>
    </r>
  </si>
  <si>
    <r>
      <rPr>
        <b/>
        <sz val="9"/>
        <rFont val="Arial"/>
        <family val="2"/>
      </rPr>
      <t xml:space="preserve">4to Trimestre: </t>
    </r>
    <r>
      <rPr>
        <sz val="9"/>
        <rFont val="Arial"/>
        <family val="2"/>
      </rPr>
      <t xml:space="preserve">Se profirieron 51 autos de archivo de la SRF, de Imputación 13 de la SRF, fallos con 6 (4 de la SRF y 2 DRF), fallos sin Responsabilidad 4 de la SRF, para un total de </t>
    </r>
    <r>
      <rPr>
        <b/>
        <sz val="9"/>
        <rFont val="Arial"/>
        <family val="2"/>
      </rPr>
      <t>74</t>
    </r>
    <r>
      <rPr>
        <sz val="9"/>
        <rFont val="Arial"/>
        <family val="2"/>
      </rPr>
      <t xml:space="preserve"> decisiones.</t>
    </r>
    <r>
      <rPr>
        <b/>
        <sz val="9"/>
        <rFont val="Arial"/>
        <family val="2"/>
      </rPr>
      <t xml:space="preserve"> 
Resultado año 2017:</t>
    </r>
    <r>
      <rPr>
        <sz val="9"/>
        <rFont val="Arial"/>
        <family val="2"/>
      </rPr>
      <t xml:space="preserve"> Se tenia previsto proferir 300 decisiones y se profirieron 211 autos de archivo (2 de la DRF y 209 de la SRF), de Imputación 45 (2 DRF y 43 de la SRF), Procesos Verbales 3 de la SRF, Fallos con responsabilidad fiscal 18 (2 de la DRF y 16 SRF) y fallos sin 15 (1 DRF y 14 de la SRF), para un total de 292 decisiones.</t>
    </r>
    <r>
      <rPr>
        <b/>
        <sz val="9"/>
        <rFont val="Arial"/>
        <family val="2"/>
      </rPr>
      <t xml:space="preserve">
El resultado del indicador: Satisfactorio, </t>
    </r>
    <r>
      <rPr>
        <sz val="9"/>
        <rFont val="Arial"/>
        <family val="2"/>
      </rPr>
      <t>sobrepaso la meta propuesta (95%), al obtener como resultado acumulado el 102%.</t>
    </r>
  </si>
  <si>
    <r>
      <rPr>
        <b/>
        <sz val="9"/>
        <rFont val="Arial"/>
        <family val="2"/>
      </rPr>
      <t>4to Trimestre:</t>
    </r>
    <r>
      <rPr>
        <sz val="9"/>
        <rFont val="Arial"/>
        <family val="2"/>
      </rPr>
      <t xml:space="preserve"> Ingresaron 3 procesos con titulo ejecutivo y a los 3 se les agoto cobro persuasivo.
</t>
    </r>
    <r>
      <rPr>
        <b/>
        <sz val="9"/>
        <rFont val="Arial"/>
        <family val="2"/>
      </rPr>
      <t xml:space="preserve">Resultado año 2017: </t>
    </r>
    <r>
      <rPr>
        <sz val="9"/>
        <rFont val="Arial"/>
        <family val="2"/>
      </rPr>
      <t xml:space="preserve">Ingresaron en total 7 procesos con titulo ejecutivo, a los cuales se les agoto cobro persuasivo.
</t>
    </r>
    <r>
      <rPr>
        <b/>
        <sz val="9"/>
        <rFont val="Arial"/>
        <family val="2"/>
      </rPr>
      <t>El resultado del indicador: Satisfactorio</t>
    </r>
    <r>
      <rPr>
        <sz val="9"/>
        <rFont val="Arial"/>
        <family val="2"/>
      </rPr>
      <t>, sobrepaso la meta propuesta (90%), al obtener como resultado acumulado el 111%.</t>
    </r>
  </si>
  <si>
    <r>
      <rPr>
        <b/>
        <sz val="9"/>
        <rFont val="Arial"/>
        <family val="2"/>
      </rPr>
      <t xml:space="preserve">
Seguimiento a diciembre de 2017: </t>
    </r>
    <r>
      <rPr>
        <sz val="9"/>
        <rFont val="Arial"/>
        <family val="2"/>
      </rPr>
      <t>El nivel de avance en</t>
    </r>
    <r>
      <rPr>
        <b/>
        <sz val="9"/>
        <rFont val="Arial"/>
        <family val="2"/>
      </rPr>
      <t xml:space="preserve"> </t>
    </r>
    <r>
      <rPr>
        <sz val="9"/>
        <rFont val="Arial"/>
        <family val="2"/>
      </rPr>
      <t>la emisión de los documentos informativos para el cuarto trimestre sobre situaciones administrativas laborales fue del 25%, que comparado con el acumulado de las metas de los cuatro (4) trimestres, alcanza un cumplimiento del 100%, ubicándose en rango satisfactorio, dado que se han ejecutado las 8 actividades anuales programadas.
La Subdirección de Gestión del Talento Humano generó para el cuarto trimestre dos (2) documentos informativos sobre situaciones administrativas laborales, a saber: 
Circular No 012 del 18 de octubre de 2017, en la cual se establecen las directrices para la compensación de tiempo (permiso compensado), para disfrute de cuatro (4) días laborales, con ocasión de las festividades de fin de año y de inicio de nuevo año.
Circular No. 016 de 2017, en la cual se indican los lineamientos para el disfrute de periodos acumulados de vacaciones a la vigencia 2017.
De igual forma, mediante ECARD’s, se socializaron situaciones que surgieron referentes a los temas de Trámites de Cesantías y Prima Técnica a todos los Servidores Públicos de la Entidad.
Finalmente, en cumplimiento de la Circular No. 037, expedida por el Secretario General de la Alcaldía Mayor de Bogotá, se expidió la Circular Interna No. 014 de 2017 del 26 de octubre de 2017, en la cual se establecieron las directrices a tener en cuenta respecto a la Jornada Laboral para el día 31 de Octubre de 2017.</t>
    </r>
    <r>
      <rPr>
        <b/>
        <sz val="9"/>
        <rFont val="Arial"/>
        <family val="2"/>
      </rPr>
      <t xml:space="preserve">
</t>
    </r>
    <r>
      <rPr>
        <sz val="9"/>
        <rFont val="Arial"/>
        <family val="2"/>
      </rPr>
      <t xml:space="preserve">
</t>
    </r>
  </si>
  <si>
    <r>
      <rPr>
        <b/>
        <sz val="9"/>
        <color theme="1"/>
        <rFont val="Arial"/>
        <family val="2"/>
      </rPr>
      <t xml:space="preserve">SEGUIMIENTO A 31 DICIEMBRE 2017
</t>
    </r>
    <r>
      <rPr>
        <sz val="9"/>
        <color theme="1"/>
        <rFont val="Arial"/>
        <family val="2"/>
      </rPr>
      <t>El nivel de cumplimiento en el seguimiento a la ejecución Presupuestal fue del 97%, dado que el total del presupuesto asignado a la Unidad Ejecutora 01 fue de $134.054.647.000 y la ejecución acumulada en la vigencia fue de $130.640.172.017, ubicándose en un rango de calificación satisfactorio.
Vale la pena aclarar que la ejecución del presupuesto es acumulada, por consiguiente el numerador corresponde al valor de los compromisos presupuestales realizados en la anualidad, a la fecha del corte de seguimiento.</t>
    </r>
  </si>
  <si>
    <r>
      <rPr>
        <b/>
        <sz val="9"/>
        <color theme="1"/>
        <rFont val="Arial"/>
        <family val="2"/>
      </rPr>
      <t xml:space="preserve">SEGUIMIENTO A 31 DICIEMBRE 2017
</t>
    </r>
    <r>
      <rPr>
        <sz val="9"/>
        <color theme="1"/>
        <rFont val="Arial"/>
        <family val="2"/>
      </rPr>
      <t>El nivel de cumplimiento en el reporte de los Estados Financieros fue del 100% que comparado con la meta anual refleja un avance del 100%, dado que el 17 de enero de 2017 se realizó el respectivo reporte de los Estados Financieros con fecha de corte 31 de diciembre de 2016, el 10 de abril de 2017 con fecha de corte 31 de marzo de 2017, el 10 de julio de 2017 con fecha de corte 30 de Junio de 2017 y el 10 de octubre de 2017 los Estados Financieros con fecha de corte 30 de septiembre de 2017, ubicándose en un rango de calificación satisfactorio.
Es importante señalar que la fecha de reporte de los Estados Financieros con fecha de corte 31 de diciembre de 2017 es el 17 de enero de 2018.</t>
    </r>
  </si>
  <si>
    <r>
      <rPr>
        <b/>
        <sz val="9"/>
        <rFont val="Arial"/>
        <family val="2"/>
      </rPr>
      <t>SEGUIMIENTO A 31 DICIEMBRE 2017</t>
    </r>
    <r>
      <rPr>
        <sz val="9"/>
        <rFont val="Arial"/>
        <family val="2"/>
      </rPr>
      <t xml:space="preserve">
Para el cuarto trimestre de octubre a diciembre, se atendieron 64 Entregas de Elementos de Consumo, con un promedio de 2.7 días de atención. 
El promedio de tiempo utilizado en atender las solicitudes de suministro de elementos de consumo durante la vigencia 2017, desde la fecha de solicitud hasta la atención del mismo , fue de 3.2 días de atención, ubicándose en un rango "SATISFACTORIO", con relación a la meta establecida de cinco (5) días.</t>
    </r>
  </si>
  <si>
    <r>
      <rPr>
        <b/>
        <sz val="9"/>
        <rFont val="Arial"/>
        <family val="2"/>
      </rPr>
      <t>SEGUIMIENTO A 31 DICIEMBRE 2017</t>
    </r>
    <r>
      <rPr>
        <sz val="9"/>
        <rFont val="Arial"/>
        <family val="2"/>
      </rPr>
      <t xml:space="preserve">
El Nivel de cumplimiento en la ejecución de los recursos de la meta 2 - PIGA del proyecto de inversión 1195  durante la vigencia 2017, fue de 78%, que comparado con la meta acumulada, refleja un rango de calificación "ACEPTABLE".</t>
    </r>
  </si>
  <si>
    <r>
      <t xml:space="preserve">SEGUIMIENTO A 31 DICIEMBRE 2017
</t>
    </r>
    <r>
      <rPr>
        <sz val="9"/>
        <rFont val="Arial"/>
        <family val="2"/>
      </rPr>
      <t>El nivel de cumplimiento en la ejecución de los recursos de la meta 1 del proyecto de inversión 1196 con corte a diciembre fue de 6%, dado que del total del presupuesto asignado en la vigencia 2017 a esta meta  pro valor de $825.024.320, solo se ejecutó $52.545.720, ubicándose en un rango de calificación “MINIMO”.
Hecho anterior que tiene su justificación en la revocatoria de la licitación pública Nº CB-LP-360-2017 cuyo objeto consistía en "Contratar el mantenimiento integral preventivo y correctivo, las adecuaciones de las sedes de la Contraloría de Bogotá", así como la interventoría de la obra, debido a que dentro de la presente vigencia por control de gasto, no se obtuvieron los recursos necesarios para la ejecución de esta obra. Dicha revocatoria está amparada en los siguientes actos administrativos: Resolución Nº 1369 de diciembre 13 de 2017 revoca la Resolución Nº 3534 de diciembre 7/17 mediante la cual se dio apertura a la licitación pública Nº CB-LP-360-2017.</t>
    </r>
  </si>
  <si>
    <r>
      <t xml:space="preserve">Seguimiento a diciembre/2017. </t>
    </r>
    <r>
      <rPr>
        <sz val="9"/>
        <rFont val="Arial"/>
        <family val="2"/>
      </rPr>
      <t>La Dirección de TIC ejecutó la totalidad de actividades programadas para el desarrollo de la fase 2 - planificación del Sistema de Seguridad y Privacidad de la Información para la Contraloría de Bogotá , con el fin de garantizar la confidencialidad, integralidad y disponibilidad de la información, con lo cual se alcanza un rango de calificación SATISFACTORIO al cumplir el 100% de la meta establecida. Durante el último trimestre se adelantaron las siguientes actividades:
- Elaboración documento de  metodología de valoración e identificación para la gestión de riesgos de seguridad y privacidad de la información.
- Encuesta de valoración de activos de información.
- Matriz de Identificación y valoración de riesgos en seguridad de la información
- Elaboración de plan de tratamiento de riesgos
- Elaboración de documento de declaración de aplicabilidad.
En cuanto a la Declaración de aplicabilidad, se presentó el documento al Comité  para aprobación. Se precisó que ésta Declaración consiste en los Controles de seguridad establecidos en el Anexo A del estándar ISO/IEC 27001 /2013, que en conjunto son 114 controles agrupados en 35 objetivos de control
No obstante la revisión efectuada, el presidente del Comité, solicitó que se aprobara la Declaración, con los ajustes que se efectúen con base en una nueva revisión conjunta entren los áreas integrantes del Comité, para ajustar los ítems observados respecto al documento dispuesto para aprobación; en especial, lo atinente al anexo  A.6.2 Dispositivos móviles y teletrabajo.
Con memorando 3-2017-35650 se remitieron a la Dirección de Planeación los procedimientos correspondientes al SSPI de la Contraloría de Bogotá D.C. para revisión técnica.</t>
    </r>
  </si>
  <si>
    <r>
      <t xml:space="preserve">Seguimiento a diciembre/2017. </t>
    </r>
    <r>
      <rPr>
        <sz val="9"/>
        <rFont val="Arial"/>
        <family val="2"/>
      </rPr>
      <t xml:space="preserve">Durante este trimestre La Dirección de TIC realizó las siguientes actividades para cada uno de los ejes temáticos:
</t>
    </r>
    <r>
      <rPr>
        <b/>
        <sz val="9"/>
        <rFont val="Arial"/>
        <family val="2"/>
      </rPr>
      <t>TIC para gobierno abierto</t>
    </r>
    <r>
      <rPr>
        <sz val="9"/>
        <rFont val="Arial"/>
        <family val="2"/>
      </rPr>
      <t xml:space="preserve">
- Se habilitó la encuesta para recibir aportes de los ciudadanos con respecto a la página web institucional. La encuesta fue habilitada el 15 de diciembre y hasta el 31 de diciembre de 2017
- El 09 de enero de 2018, se elaboró el informe correspondiente a los resultados obtenidos en la encuesta, la cual fue cerrada el 31 de diciembre.  Las conclusiones serán tenidas en cuenta para la vigencia 2018 como mejoras al portal web institucional. 
</t>
    </r>
    <r>
      <rPr>
        <b/>
        <sz val="9"/>
        <rFont val="Arial"/>
        <family val="2"/>
      </rPr>
      <t xml:space="preserve">
TIC para la Gestión</t>
    </r>
    <r>
      <rPr>
        <sz val="9"/>
        <rFont val="Arial"/>
        <family val="2"/>
      </rPr>
      <t xml:space="preserve">
Se revisó la documentación sobre  EL DOMINIO DE INFORMACION  GUIA TÉCNICA VERSION 1.O DEL MINTIC y se elaboró el correspondiente documento resumen para la Dirección de TIC. El documento servirá como material de apoyo para las actividades que se definirán sobre Gobierno en Línea en la Contraloría de Bogotá D.C. para el año 2018.
Se elaboró el catalogo de servicios de la Dirección de TIC  el cual define 19 servicios cada uno con la descripción del servicio, horario, canales de acceso. Este documento servirá como apoyo a la gestión de TIC para próximas vigencias. El documento esta sujeto a observaciones y actualizaciones según corresponda.
Se realizaron las actividades correspondientes a la configuración de las impresoras de la entidad para que se haga en ambas caras. Esta actividad se realiza a través del servidor de Impresión PRINT SERVER.</t>
    </r>
    <r>
      <rPr>
        <b/>
        <sz val="9"/>
        <rFont val="Arial"/>
        <family val="2"/>
      </rPr>
      <t xml:space="preserve">
</t>
    </r>
    <r>
      <rPr>
        <sz val="9"/>
        <rFont val="Arial"/>
        <family val="2"/>
      </rPr>
      <t>El indicador en esta actividad es del 100%  ya que se realizaron las 12 actividades programadas dentro del plan de trabajo definido, lo cual lo ubica en un rango de calificación de "SATISFACTORIO".AG17</t>
    </r>
  </si>
  <si>
    <r>
      <rPr>
        <b/>
        <sz val="9"/>
        <rFont val="Arial"/>
        <family val="2"/>
      </rPr>
      <t>*Seguimiento a diciembre de 2017: S</t>
    </r>
    <r>
      <rPr>
        <sz val="9"/>
        <rFont val="Arial"/>
        <family val="2"/>
      </rPr>
      <t>e ejecutaron 82 actividades de pedagogía social formativa e ilustrativa así: Jornadas de formación 39, Talleres 21, Seminarios 9, Conversatorios 4, Foros y Paneles  4, Piezas comunicativas 3 y Conferencias 2 en las que participaron 3.283  personas. La actividad presentó una ejecución del 103% respecto a la meta que es del 100%, lo que la clasifica en el rango de calificación de satisfactorio.</t>
    </r>
    <r>
      <rPr>
        <b/>
        <sz val="9"/>
        <rFont val="Arial"/>
        <family val="2"/>
      </rPr>
      <t/>
    </r>
  </si>
  <si>
    <r>
      <rPr>
        <b/>
        <sz val="9"/>
        <rFont val="Arial"/>
        <family val="2"/>
      </rPr>
      <t>*Seguimiento a diciembre de 2017: U</t>
    </r>
    <r>
      <rPr>
        <sz val="9"/>
        <rFont val="Arial"/>
        <family val="2"/>
      </rPr>
      <t>na vez recibida la medición de la satisfacción del cliente "Concejo", producto entregado  por la Universidad Distrital mediante oficio Nº 1-2017-09207 de 21/04/2017 en desarrollo del Contrato Nº 108 de 2016, se obtuvo que de 32 concejales entrevistados, 29 tienen una percepción positiva sobre el servicio al cliente prestado por la Contraloría de Bogotá, lo que equivale al 91% de resultado y al 101% de resultado acumulado con respecto a la meta esperada que era del 90%., ubicando la percepción del Concejo en el rango de satisfactorio.
La medición de la vigencia 2017 se realizará a través  del contrato interadministrativo N° 335 de 2017 con la Universidad Nacional de Colombia cuyo objeto es "Contratar la capacitación y realización de acciones ciudadanas especiales enmarcadas en procesos pedagógicos orientados a la formación en control social, ejecutando los mecanismos de interacción de controlo social especiales enfocadas a un control fiscal con participación ciudadana" se realizará la medición sobre la percepción que los clientes, Concejo y ciudadanía, tienen con respecto al desempeño de la función pública de Control Fiscal que realiza la entidad, de la vigencia 2017, producto que se entregará en enero de 2018.</t>
    </r>
  </si>
  <si>
    <r>
      <rPr>
        <b/>
        <sz val="9"/>
        <rFont val="Arial"/>
        <family val="2"/>
      </rPr>
      <t xml:space="preserve">*Seguimiento a diciembre de 2017: </t>
    </r>
    <r>
      <rPr>
        <sz val="9"/>
        <rFont val="Arial"/>
        <family val="2"/>
      </rPr>
      <t>De acuerdo con los reportes de las Oficinas de Localidad, se desarrollaron 484 actividades de control social así: Inspección a terreno 156, Comité de Control Social</t>
    </r>
    <r>
      <rPr>
        <sz val="9"/>
        <color indexed="30"/>
        <rFont val="Arial"/>
        <family val="2"/>
      </rPr>
      <t xml:space="preserve"> 132</t>
    </r>
    <r>
      <rPr>
        <sz val="9"/>
        <rFont val="Arial"/>
        <family val="2"/>
      </rPr>
      <t>, Mesa de Trabajo ciudadana 105, Auditoría Social 23, Audiencia Pública 19, Contraloría Estudiantil 17, Divulgación de resultados de gestión del proceso auditor y de los informes obligatorios, estudios y/o pronunciamientos 11, Revisión de contratos 9, Socialización de los Memorandos de Asignación y de Planeación 5, Comité de Control Social 3, Veedurías ciudadanas 3 y Redes sociales 1, en las que participaron 11.593 personas. La actividad presenta una ejecución del 103% respecto a la meta que es del 100%, lo que la clasifica en el rango de calificación de satisfactoria.</t>
    </r>
    <r>
      <rPr>
        <b/>
        <sz val="9"/>
        <rFont val="Arial"/>
        <family val="2"/>
      </rPr>
      <t/>
    </r>
  </si>
  <si>
    <r>
      <rPr>
        <b/>
        <sz val="9"/>
        <rFont val="Arial"/>
        <family val="2"/>
      </rPr>
      <t xml:space="preserve">Seguimiento a diciembre de 2017: </t>
    </r>
    <r>
      <rPr>
        <sz val="9"/>
        <rFont val="Arial"/>
        <family val="2"/>
      </rPr>
      <t>Se cumplió con la emisión del 100% de los reportes programados sobre las causas más frecuentes de los derechos de petición tramitados que sirven de insumo para las áreas misionales de la entidad. Se publicaron 3 de 3 reportes programados, lo que arroja un cumplimiento del 100% del indicador, ubicándolo en el rango de calificación satisfactoria.</t>
    </r>
    <r>
      <rPr>
        <b/>
        <sz val="10"/>
        <color indexed="10"/>
        <rFont val="Arial"/>
        <family val="2"/>
      </rPr>
      <t/>
    </r>
  </si>
  <si>
    <r>
      <rPr>
        <b/>
        <sz val="9"/>
        <rFont val="Arial"/>
        <family val="2"/>
      </rPr>
      <t>Seguimiento a diciembre de 2017</t>
    </r>
    <r>
      <rPr>
        <sz val="9"/>
        <rFont val="Arial"/>
        <family val="2"/>
      </rPr>
      <t>: Se cumplió con la entrega del 100% de los boletines programados, para Visibilizar el apoyo técnico al ejercicio del control político que la entidad le brinda al Concejo de Bogotá. Se publicaron 3 de 3 boletines programados, lo que arroja un cumplimiento del 100% del indicador, ubicándolo en el rango de calificación satisfactoria.</t>
    </r>
  </si>
  <si>
    <t>Esta actividad presenta un cumplimiento del 100% con relación a la meta, ubicándose en un Rango de calificación Satisfactorio, dado que durante el periodo se socializó la metodología para la evaluación fiscal de políticas públicas distritales a las 12 direcciones programadas, así: 
Mediante comunicaciones: 3-2017-08029 y 3-2017-08319  del 24 y 28 de marzo de 2017, se convocó a las direcciones que hacen parte del PVCGF,  a  la socialización de la Metodología para la Evaluación Fiscal de las Políticas Públicas Distritales; actividad que se realizó el 29 de marzo de 2017  en la Escuela de Capacitación en tres jornadas, donde participaron: Subdirectores, Gerentes y Auditores encargados  de la Evaluación del factor:  Planes, Programas y Proyectos, con la participación de 148 funcionarios, según consta en listados de asistencia.</t>
  </si>
  <si>
    <t>De los 428 hallazgos con incidencia fiscal registrados en los informes y comunicados a los 78 Sujetos de Control auditados durante la vigencia, la totalidad de ellos fueron traslados a la Dirección de Responsabilidad Fiscal oportunamente. Con relación a la meta se superó en un 10%, ubicándose en un rango satisfactorio.</t>
  </si>
  <si>
    <t>Durante la vigencia 2017, el DRI terminó 29 actuaciones entre visitas de control fiscal, indagaciones y 1 pronunciamiento, superando la meta en un 45% y ubicándose en un rango satisfactorio.</t>
  </si>
  <si>
    <t>El promedio de días utilizados por el Proceso de Vigilancia es de 152 para dar trámite a las indagaciones preliminares, ubicándose en un rango aceptable.</t>
  </si>
  <si>
    <r>
      <rPr>
        <b/>
        <sz val="9"/>
        <rFont val="Arial"/>
        <family val="2"/>
      </rPr>
      <t>*Seguimiento a diciembre de 2017:</t>
    </r>
    <r>
      <rPr>
        <sz val="9"/>
        <rFont val="Arial"/>
        <family val="2"/>
      </rPr>
      <t xml:space="preserve">  Una vez recibida la medición de la satisfacción del cliente "Ciudadanía", producto entregado oficialmente por la Universidad Distrital mediante oficio Nº 1-2017-09207 de 21/04/2017 en desarrollo del Contrato Nº 108 de 2016, se obtuvo que de 2.294 ciudadanos entrevistados, 1.743 tienen una percepción positiva sobre el servicio al cliente prestado por la Contraloría de Bogotá, lo que equivale al 76% de resultado y al 84% de resultado acumulado con respecto a la meta esperada que era del 90%., ubicando la percepción de la ciudadanía en el rango de aceptable.
La medición de la vigencia 2017 se realizará a través del contrato interadministrativo N° 335 de 2017 con la Universidad Nacional de Colombia cuyo objeto es "Contratar la capacitación y realización de acciones ciudadanas especiales enmarcadas en procesos pedagógicos orientados a la formación en control social, ejecutando los mecanismos de interacción de controlo social especiales enfocadas a un control fiscal con participación ciudadana" se realizará la medición sobre la percepción que los clientes, Concejo y ciudadanía, tienen con respecto al desempeño de la función pública de Control Fiscal que realiza la entidad, de la vigencia 2017, producto que se entregará en enero de 2018.
</t>
    </r>
    <r>
      <rPr>
        <b/>
        <sz val="9"/>
        <rFont val="Arial"/>
        <family val="2"/>
      </rPr>
      <t>Nota:</t>
    </r>
    <r>
      <rPr>
        <sz val="9"/>
        <rFont val="Arial"/>
        <family val="2"/>
      </rPr>
      <t xml:space="preserve"> Con relación a la ejecución del Plan de Acción 2016, una vez recibida la medición de la satisfacción del cliente "Ciudadanía", producto entregado oficialmente por la Universidad Distrital mediante oficio Nº 1-2017-09207 de 21/04/2017 en desarrollo del Contrato Nº 108 de 2016, se obtuvo que de 2.294 ciudadanos entrevistados, 1.743 tienen una percepción positiva sobre el servicio al cliente prestado por la Contraloría de Bogotá, lo que equivale al 76% de resultado y al 84% de resultado acumulado con respecto a la meta esperada que era del 90%., ubicando la percepción de la ciudadanía en el rango de aceptable. Los resultados se socializaron mediante memorandos Nº 3-2017-09611 y Nº 3-2017-09614 de 18/04/2017, dándose alcance a las comunicaciones anteriores con memorando Nº 3-2017-10165 de 24/04/2017</t>
    </r>
    <r>
      <rPr>
        <b/>
        <sz val="9"/>
        <rFont val="Arial"/>
        <family val="2"/>
      </rPr>
      <t/>
    </r>
  </si>
  <si>
    <t>La actualización de la MCGF comparada con la meta con corte al cuarto trimestre, alcanza un cumplimiento del 100%, ubicándose en rango satisfactorio.
En ejecución del Plan de Trabajo se realizó el proceso de Optimización de la Matriz de Calificación de la Gestión Fiscal MCGF, se conformaron grupos de trabajo por factor de acuerdo a los perfiles de cada funcionario y la característica del factor a evaluar; evidencia de ello se encuentra en el acta N° 8 del PVCGF del 4 de octubre de 2017. Así mismo, se realizaron ajustes al Plan de Trabajo de acuerdo con las sugerencias presentadas en las reuniones. Se realizó solicitud de las comisiones laborales de los funcionarios de cada grupo, los cuales cumplieron con las comisiones correspondientes efectuando los análisis y modificaciones a las matrices por componente, de esta labor se presentaron propuestas de modificación por componente, que se agregaron en presentaciones remitidas vía correo electrónico para enseñarlas a la alta dirección para su aprobación e implementación de los ajustes correspondientes a la metodología y su socialización general.</t>
  </si>
  <si>
    <t>De los 186 hallazgos fiscales devueltos por la Dirección de Responsabilidad Fiscal, 25% de ellos fueron archivados por parte de las Direcciones productoras de los mismos, ocasionando así un resultado satisfactorio con relación a la meta programada (40%) para este indicador, dado que el proceso fue más eficiente en un 15%.</t>
  </si>
  <si>
    <r>
      <rPr>
        <b/>
        <sz val="9"/>
        <rFont val="Arial"/>
        <family val="2"/>
      </rPr>
      <t xml:space="preserve">*Seguimiento a diciembre de 2017:  </t>
    </r>
    <r>
      <rPr>
        <sz val="9"/>
        <rFont val="Arial"/>
        <family val="2"/>
      </rPr>
      <t xml:space="preserve">De acuerdo con los reportes de las Oficinas de Localidad, se han desarrollado 20 Rendiciones de cuenta, que han involucrado las 20 localidades. La actividad presenta una ejecución del 100%, lo que la clasifica en el rango de calificación de satisfactoria. </t>
    </r>
    <r>
      <rPr>
        <b/>
        <sz val="9"/>
        <rFont val="Arial"/>
        <family val="2"/>
      </rPr>
      <t/>
    </r>
  </si>
  <si>
    <r>
      <rPr>
        <b/>
        <sz val="9"/>
        <rFont val="Arial"/>
        <family val="2"/>
      </rPr>
      <t>Sgto. Dic./2017.</t>
    </r>
    <r>
      <rPr>
        <sz val="9"/>
        <rFont val="Arial"/>
        <family val="2"/>
      </rPr>
      <t xml:space="preserve">  El 12 de diciembre de 2017 el contratista presenta los últimos ajustes requeridos por la Dirección de Planeación a desarrollar en la herramienta TABLERO DE CONTROL con la cual se realizará verificación del cumplimiento del Plan Estratégico a través del seguimiento al Plan de Acción. Con el cargo actualizado de los datos con corte al tercer trimestre de 2017 con el cual se efectúo paralelo para verificar la eficacia del sistema, se entrega enlace de ejecución de la aplicación, así como instrucción para administración funcional del aplicativo a los profesionales de la Dirección de Planeación encargados de la parametrización. Con lo anterior, se logra un cumplimiento del 100% de la acción establecida. </t>
    </r>
  </si>
  <si>
    <r>
      <rPr>
        <b/>
        <sz val="9"/>
        <rFont val="Arial"/>
        <family val="2"/>
      </rPr>
      <t xml:space="preserve">Seguimiento a diciembre/2017. </t>
    </r>
    <r>
      <rPr>
        <sz val="9"/>
        <rFont val="Arial"/>
        <family val="2"/>
      </rPr>
      <t xml:space="preserve">Se elaboró el concepto técnico correspondiente al Proyecto Sistema Integrado del Proceso Auditor y Responsabilidad Fiscal -SIPARF - Aliado del Control, de acuerdo al plan de trabajo definido por la Dirección de TIC.
Durante la vigencia 2017 la Dirección de TIC revisó aplicativos existentes en el sector del Control Fiscal  y analizó  la información del proyecto SIPARF lo que le permitió la elaboración del concepto técnico. </t>
    </r>
    <r>
      <rPr>
        <i/>
        <sz val="9"/>
        <color indexed="10"/>
        <rFont val="Arial"/>
        <family val="2"/>
      </rPr>
      <t xml:space="preserve">
</t>
    </r>
    <r>
      <rPr>
        <sz val="9"/>
        <rFont val="Arial"/>
        <family val="2"/>
      </rPr>
      <t>El resultado del indicador de esta actividad es del 100%, lo cual lo ubica en el rango de calificación "SATISFACTORIO"</t>
    </r>
    <r>
      <rPr>
        <sz val="9"/>
        <rFont val="Arial"/>
        <family val="2"/>
      </rPr>
      <t>.</t>
    </r>
  </si>
  <si>
    <r>
      <t xml:space="preserve">Seguimiento a diciembre/2017. 
</t>
    </r>
    <r>
      <rPr>
        <sz val="9"/>
        <rFont val="Arial"/>
        <family val="2"/>
      </rPr>
      <t xml:space="preserve">Se alcanzó el 100% de avance en la implementación  y/o actualización de soluciones tecnológicas que fortalezcan la infraestructura tecnológica de la CB, la Dirección de TIC en el marco del Plan Anual de Adquisiciones y con los recursos asignados al proyecto de inversión 1194 actualizó las 10 soluciones tecnológicas (hardware y software) programadas, ubicándose en rango SATISFACTORIO Así:
1. Puesta en producción de la nueva versión del portal Web de la entidad.
2. Adecuación del  Datacenter de la entidad con sistemas de seguridad y prevención de riesgos como  montaje e instalación de un sistema de aire acondicionado de precisión, una ups y un  sistema de control, detección y extinción contra incendios.
3. Instalación de un kiosko multimedia interactivo de consulta.
4. Adquisición de licenciamiento antivirus para servidores y estaciones de trabajo.
5. Soporte, mantenimiento y actualización de las versiones de los aplicativos SIVICOF y SIGESPRO. 
6. Actualización del firewall o solución de seguridad perimetral (Fortigate 240D).
7. Adquisición de 100 computadores, 4 impresoras y 2 scanner.
8. Actualización de servidores (Ampliación de la capacidad de memoria en cuatro (4) Servidores HP Blade 460c G8, junto con la configuración, actualización tanto de hardware como software necesarios para su normal funcionamiento).
9. Contratación de servicios para el análisis, diseño, adopción e implementación del protocolo IPv6 en convivencia con IPv4.
10. Adquisición de servicios integrales de conectividad -canales dedicados internet. </t>
    </r>
  </si>
  <si>
    <r>
      <rPr>
        <b/>
        <sz val="9"/>
        <rFont val="Arial"/>
        <family val="2"/>
      </rPr>
      <t xml:space="preserve">Seguimiento a diciembre/2017. 
</t>
    </r>
    <r>
      <rPr>
        <sz val="9"/>
        <rFont val="Arial"/>
        <family val="2"/>
      </rPr>
      <t xml:space="preserve">Con los recursos asignados al proyecto de inversión 1194 </t>
    </r>
    <r>
      <rPr>
        <i/>
        <sz val="9"/>
        <rFont val="Arial"/>
        <family val="2"/>
      </rPr>
      <t xml:space="preserve">"Fortalecimiento de la Infraestructura de Tecnologías de la Información y las Comunicaciones de la Contraloría de Bogotá D.C.", </t>
    </r>
    <r>
      <rPr>
        <sz val="9"/>
        <rFont val="Arial"/>
        <family val="2"/>
      </rPr>
      <t>para la vigencia 2017 se ejecutaron un total de 39 puntos de inversión para los dos metas establecidas y del total del presupuesto asignado correspondiente a $1.812.094.604 se ejecutaron $1.795.264.356 equivalente al 99,07%, obteniéndose un rango de calificación del resultado "SATISFACTORIO".</t>
    </r>
  </si>
  <si>
    <r>
      <t xml:space="preserve">Seguimiento a diciembre/2017: </t>
    </r>
    <r>
      <rPr>
        <sz val="9"/>
        <rFont val="Arial"/>
        <family val="2"/>
      </rPr>
      <t xml:space="preserve">Para el </t>
    </r>
    <r>
      <rPr>
        <b/>
        <sz val="9"/>
        <rFont val="Arial"/>
        <family val="2"/>
      </rPr>
      <t xml:space="preserve">trimestre octubre - diciembre </t>
    </r>
    <r>
      <rPr>
        <sz val="9"/>
        <rFont val="Arial"/>
        <family val="2"/>
      </rPr>
      <t xml:space="preserve">de 2017 se registraron en la Plataforma Aranda Service Desk, de la Mesa de Servicios, un total de 1.407 casos para los Niveles 1, 2 y 3 de Soporte de Aplicaciones y Equipos informáticos,  de los cuales 1.296 casos se solucionaron dentro de los tiempos establecidos para un porcentaje de atención del 92% para este periodo.
</t>
    </r>
    <r>
      <rPr>
        <b/>
        <sz val="9"/>
        <rFont val="Arial"/>
        <family val="2"/>
      </rPr>
      <t>El resultado acumulado del indicador con corte a diciembre de 2017 fue del 93%</t>
    </r>
    <r>
      <rPr>
        <sz val="9"/>
        <rFont val="Arial"/>
        <family val="2"/>
      </rPr>
      <t xml:space="preserve">, superior al valor establecido para la meta del trimestre ( 80%) y un resultado acumulado con respecto a la meta de 116%. Obteniendo un rango de calificación del resultado final  de </t>
    </r>
    <r>
      <rPr>
        <b/>
        <sz val="9"/>
        <rFont val="Arial"/>
        <family val="2"/>
      </rPr>
      <t>SATISFACTORIO.</t>
    </r>
    <r>
      <rPr>
        <sz val="9"/>
        <rFont val="Arial"/>
        <family val="2"/>
      </rPr>
      <t xml:space="preserve">
A la fecha de corte se encontraban en proceso, asignados, suspendidos y reasignados 5 casos, es decir, que no había vencido el tiempo definido para dar la solución y una (1) solicitud fue anulada por duplicidad.</t>
    </r>
    <r>
      <rPr>
        <b/>
        <sz val="9"/>
        <rFont val="Arial"/>
        <family val="2"/>
      </rPr>
      <t/>
    </r>
  </si>
  <si>
    <t>Seguimiento Diciembre
La socialización de los resultados de la rendición de cuentas refleja un nivel de cumplimiento satisfactorio, toda vez, que se dieron a conocer por los diferentes canales de comunicación dos de ellas, la primera en el Centro de Convenciones Gonzalo Jiménez en el mes de abril y la segunda en octubre, último trimestre del año en Sumapaz, como cierre del ciclo de audiencias publicas que se hicieron en las 20 localidades. Los eventos fueron dados a conocer a la opinión pública a través de un boletín de prensa y por redes sociales (twiiter-facebook).</t>
  </si>
  <si>
    <t xml:space="preserve">El resultado de esta actividad es de 100% de cumplimiento con relación a la meta, ubicándose en un Rango de calificación SATISFACTORIO para el periodo y un 100% de avance con respecto a la meta anual. 
Durante la vigencia 2017 se socializaron tres informes: el Informe de Estado de las Finanzas del Distrito Capital  se realizó el 7 de noviembre con los Gerentes Locales; los Informes sobre EL Estado de los Recursos Naturales y  Plan Maestro de Movilidad se socializó con los integrantes de la Junta Administradora Local de Usaquén el 19 de diciembre de 2017, en dicha socialización participaron 13 personas, las cuales dieron a conocer su insatisfacción respecto a la asignación de recursos para el tema ambiental en la localidad y su preocupación frente a los recursos ambientales de la localidad como los cerros orientales y las fuentes hídricas; también realizaron preguntas frente a la competencia de la autoridad ambiental en cuanto a la explotación de los recursos, en especial la referente a la minería y los pasivos ambientales que se dejan después de abandonar las obras.  </t>
  </si>
  <si>
    <t>No. Hallazgos fiscales devueltos por la Dirección de RFJC durante la vigencia *100 / Total de hallazgos fiscales trasladados a la Dirección de RFJC del 1 de octubre de la vigencia anterior al 30 de septiembre de la actual vigencia.</t>
  </si>
  <si>
    <t xml:space="preserve">De 378 hallazgos fiscales trasladados a la Dirección de Responsabilidad Fiscal del 1 de octubre de la vigencia anterior al 30 de septiembre de la actual vigencia, el 49%, es decir, 186 hallazgos fueron devueltos a las diferentes Sectoriales, ubicándose en rango Aceptable, dado que superó la Meta Programada (40%) en un 9%. </t>
  </si>
  <si>
    <t>No. Hallazgos fiscales archivados por el Comité Técnico del PVCGF durante la vigencia * 100 / No. de Hallazgos fiscales devueltos por la Dirección de RFJC durante la vigencia *100</t>
  </si>
  <si>
    <t xml:space="preserve">El resultado el indicador es satisfactorio, se emitieron los 7 boletines programados.
</t>
  </si>
  <si>
    <t>Elaborar documentos periódicos para lograr el mejoramiento de la calidad de los hallazgos fiscales  e indagaciones preliminares</t>
  </si>
  <si>
    <r>
      <rPr>
        <b/>
        <sz val="9"/>
        <rFont val="Arial"/>
        <family val="2"/>
      </rPr>
      <t>4to Trimestre:</t>
    </r>
    <r>
      <rPr>
        <sz val="9"/>
        <rFont val="Arial"/>
        <family val="2"/>
      </rPr>
      <t xml:space="preserve"> Se publico el Boletín de Responsabilidad Fiscal - Edición 4 "El Hallazgo Administrativo con Incidencia Fiscal". Diciembre 2017.
Actualmente los 4 boletines se encuentran publicados en el tablero de la Intranet de la Contraloría de Bogotá, http://intranet.contraloriabogota.gov.co/boletines-de-responsabilidad-fiscal
</t>
    </r>
    <r>
      <rPr>
        <b/>
        <sz val="9"/>
        <rFont val="Arial"/>
        <family val="2"/>
      </rPr>
      <t>El resultado del indicador es Satisfactorio</t>
    </r>
    <r>
      <rPr>
        <sz val="9"/>
        <rFont val="Arial"/>
        <family val="2"/>
      </rPr>
      <t xml:space="preserve"> por cumplir la meta propuesta, 100%.</t>
    </r>
  </si>
  <si>
    <t>Medir el índice de hallazgos fiscales evaluados</t>
  </si>
  <si>
    <r>
      <rPr>
        <b/>
        <sz val="9"/>
        <color theme="1"/>
        <rFont val="Arial"/>
        <family val="2"/>
      </rPr>
      <t>4to Trimestre:</t>
    </r>
    <r>
      <rPr>
        <sz val="9"/>
        <color theme="1"/>
        <rFont val="Arial"/>
        <family val="2"/>
      </rPr>
      <t xml:space="preserve"> 94 hallazgos fiscales e indagaciones preliminares se recibieron durante los meses Oct y Nov de 2017. Durante Oct, Nov y Dic se aperturaron 114 procesos de responsabilidad fiscal y se devolvieron 96 hallazgos fiscales a las sectoriales, sumando así 210 hallazgos.
De</t>
    </r>
    <r>
      <rPr>
        <b/>
        <sz val="9"/>
        <color theme="1"/>
        <rFont val="Arial"/>
        <family val="2"/>
      </rPr>
      <t xml:space="preserve"> Dic 2016 a Nov 2017</t>
    </r>
    <r>
      <rPr>
        <sz val="9"/>
        <color theme="1"/>
        <rFont val="Arial"/>
        <family val="2"/>
      </rPr>
      <t xml:space="preserve"> se recibieron en total 459 hallazgos fiscales e indagaciones preliminares.
</t>
    </r>
    <r>
      <rPr>
        <b/>
        <sz val="9"/>
        <color theme="1"/>
        <rFont val="Arial"/>
        <family val="2"/>
      </rPr>
      <t xml:space="preserve">Durante 2017 (Ene-Dic) </t>
    </r>
    <r>
      <rPr>
        <sz val="9"/>
        <color theme="1"/>
        <rFont val="Arial"/>
        <family val="2"/>
      </rPr>
      <t xml:space="preserve">se aperturaron 312 procesos de responsabilidad fiscal , 311 corresponden a la Subdirección del Proceso y 1 a la Dirección de Responsabilidad Fiscal; 187 quedaron devueltos a la sectorial (total 500), en este ultimo dato se descontaron los hallazgos que las sectoriales remitieron nuevamente a la dirección de responsabilidad fiscal.
</t>
    </r>
    <r>
      <rPr>
        <sz val="9"/>
        <rFont val="Arial"/>
        <family val="2"/>
      </rPr>
      <t>Quedan por evaluar 200 hallazgos e indagaciones preliminares para el 2018.</t>
    </r>
    <r>
      <rPr>
        <sz val="9"/>
        <color rgb="FFFF0000"/>
        <rFont val="Arial"/>
        <family val="2"/>
      </rPr>
      <t xml:space="preserve">
</t>
    </r>
    <r>
      <rPr>
        <sz val="9"/>
        <color theme="1"/>
        <rFont val="Arial"/>
        <family val="2"/>
      </rPr>
      <t xml:space="preserve">
R</t>
    </r>
    <r>
      <rPr>
        <b/>
        <sz val="9"/>
        <color theme="1"/>
        <rFont val="Arial"/>
        <family val="2"/>
      </rPr>
      <t>esultado del indicador: Satisfactorio</t>
    </r>
    <r>
      <rPr>
        <sz val="9"/>
        <color theme="1"/>
        <rFont val="Arial"/>
        <family val="2"/>
      </rPr>
      <t>, cumplió la meta propuesta, 90%,.</t>
    </r>
  </si>
  <si>
    <r>
      <rPr>
        <b/>
        <sz val="9"/>
        <color theme="1"/>
        <rFont val="Arial"/>
        <family val="2"/>
      </rPr>
      <t>4to Trimestre:</t>
    </r>
    <r>
      <rPr>
        <sz val="9"/>
        <color theme="1"/>
        <rFont val="Arial"/>
        <family val="2"/>
      </rPr>
      <t xml:space="preserve"> Se generaron en los procesos de la vigencia 2013 y 2013, 36 autos de archivo, 4 de fallo con responsabilidad fiscal, 2 sin responsabilidad fiscal y 1 con cesación por pago, menos 7 autos de declaratoria de prescripción de procesos de responsabilidad fiscal de la vigencia 2012, para un total de </t>
    </r>
    <r>
      <rPr>
        <b/>
        <sz val="9"/>
        <color theme="1"/>
        <rFont val="Arial"/>
        <family val="2"/>
      </rPr>
      <t>36</t>
    </r>
    <r>
      <rPr>
        <sz val="9"/>
        <color theme="1"/>
        <rFont val="Arial"/>
        <family val="2"/>
      </rPr>
      <t xml:space="preserve"> autos.
</t>
    </r>
    <r>
      <rPr>
        <b/>
        <sz val="9"/>
        <color theme="1"/>
        <rFont val="Arial"/>
        <family val="2"/>
      </rPr>
      <t>Resultado año 2017:</t>
    </r>
    <r>
      <rPr>
        <sz val="9"/>
        <color theme="1"/>
        <rFont val="Arial"/>
        <family val="2"/>
      </rPr>
      <t xml:space="preserve"> Se generaron en los procesos de la vigencia 2012 y 2013, 144 autos de archivo, 14 de fallo con responsabilidad fiscal, 7 sin responsabilidad fiscal y 6 con cesación por pago, menos 17 autos de declaratoria de prescripción de procesos de responsabilidad fiscal de la vigencia 2012, para un total de 154 autos.
</t>
    </r>
    <r>
      <rPr>
        <b/>
        <sz val="9"/>
        <color theme="1"/>
        <rFont val="Arial"/>
        <family val="2"/>
      </rPr>
      <t xml:space="preserve">El resultado del indicador: Satisfactorio, </t>
    </r>
    <r>
      <rPr>
        <sz val="9"/>
        <color theme="1"/>
        <rFont val="Arial"/>
        <family val="2"/>
      </rPr>
      <t>cumplió la meta propuesta, 40%.</t>
    </r>
  </si>
  <si>
    <r>
      <rPr>
        <b/>
        <sz val="9"/>
        <rFont val="Arial"/>
        <family val="2"/>
      </rPr>
      <t xml:space="preserve">Resultado año 2017: </t>
    </r>
    <r>
      <rPr>
        <sz val="9"/>
        <rFont val="Arial"/>
        <family val="2"/>
      </rPr>
      <t xml:space="preserve">De acuerdo a la evaluación de los hallazgos fiscales, se determinó la apertura de tres (3) procesos verbales en la SRF por cumplir con los requisitos de ley (Nº 170100-0029-17, 170100-0065-17 y 170100-0078-17).
</t>
    </r>
    <r>
      <rPr>
        <b/>
        <sz val="9"/>
        <rFont val="Arial"/>
        <family val="2"/>
      </rPr>
      <t xml:space="preserve">Resultado del indicador: Satisfactorio, </t>
    </r>
    <r>
      <rPr>
        <sz val="9"/>
        <rFont val="Arial"/>
        <family val="2"/>
      </rPr>
      <t>cumplió la meta propuesta, 100%.</t>
    </r>
  </si>
  <si>
    <t>Valor de la Cuantía Recaudada en la Vigencia</t>
  </si>
  <si>
    <r>
      <t xml:space="preserve">Esta actividad fue modificada a través la solicitud radicada con el memorando 3-2017-33919 del </t>
    </r>
    <r>
      <rPr>
        <b/>
        <sz val="9"/>
        <rFont val="Arial"/>
        <family val="2"/>
      </rPr>
      <t xml:space="preserve">12-Dic-2017, se modifico la meta anual: $13.500.000.000 </t>
    </r>
    <r>
      <rPr>
        <sz val="9"/>
        <rFont val="Arial"/>
        <family val="2"/>
      </rPr>
      <t xml:space="preserve">por </t>
    </r>
    <r>
      <rPr>
        <b/>
        <sz val="9"/>
        <rFont val="Arial"/>
        <family val="2"/>
      </rPr>
      <t>$ 16.300.000.000
4to Trimestre:</t>
    </r>
    <r>
      <rPr>
        <sz val="9"/>
        <rFont val="Arial"/>
        <family val="2"/>
      </rPr>
      <t xml:space="preserve"> El recaudo de beneficios por control fiscal fue de $1.312.230.956, cifra que corresponde a los pagos recibidos dentro de los procesos de cobro coactivo.
</t>
    </r>
    <r>
      <rPr>
        <b/>
        <sz val="9"/>
        <rFont val="Arial"/>
        <family val="2"/>
      </rPr>
      <t>Resultado año 2017:</t>
    </r>
    <r>
      <rPr>
        <sz val="9"/>
        <rFont val="Arial"/>
        <family val="2"/>
      </rPr>
      <t xml:space="preserve"> Se recaudo la suma de $16.223.330.673; de los cuales $16.222.888.673 corresponden a Beneficios de Control y $ 442,000,00 a Costas Procesales.
</t>
    </r>
    <r>
      <rPr>
        <b/>
        <sz val="9"/>
        <rFont val="Arial"/>
        <family val="2"/>
      </rPr>
      <t>Resultado del indicador:</t>
    </r>
    <r>
      <rPr>
        <sz val="9"/>
        <rFont val="Arial"/>
        <family val="2"/>
      </rPr>
      <t xml:space="preserve">  </t>
    </r>
    <r>
      <rPr>
        <b/>
        <sz val="9"/>
        <rFont val="Arial"/>
        <family val="2"/>
      </rPr>
      <t xml:space="preserve">Satisfactorio, </t>
    </r>
    <r>
      <rPr>
        <sz val="9"/>
        <rFont val="Arial"/>
        <family val="2"/>
      </rPr>
      <t>se cumplió el 99,53% de la meta propuesta ($ 16.300.000.000).</t>
    </r>
  </si>
  <si>
    <t>Librar Mandamientos de Pago  con base en los títulos ejecutivos generados en los procesos con  Responsabilidad Fiscal, Sancionatorios y Costas Procesales.</t>
  </si>
  <si>
    <t>Medir el numero de mandamientos librados de con los  títulos ejecutivo remitidos en la vigencia.</t>
  </si>
  <si>
    <t>N° Autos con Mandamientos de Pago Proferidos  *100 /N° Títulos Ejecutivos Ingresados a Jurisdicción Coactiva</t>
  </si>
  <si>
    <r>
      <rPr>
        <b/>
        <sz val="9"/>
        <rFont val="Arial"/>
        <family val="2"/>
      </rPr>
      <t>4to Trimestre:</t>
    </r>
    <r>
      <rPr>
        <sz val="9"/>
        <rFont val="Arial"/>
        <family val="2"/>
      </rPr>
      <t xml:space="preserve"> No ingreso a cobro coactivo ningún proceso durante este trimestre.</t>
    </r>
    <r>
      <rPr>
        <b/>
        <sz val="9"/>
        <rFont val="Arial"/>
        <family val="2"/>
      </rPr>
      <t xml:space="preserve">
Resultado año 2017:</t>
    </r>
    <r>
      <rPr>
        <sz val="9"/>
        <rFont val="Arial"/>
        <family val="2"/>
      </rPr>
      <t xml:space="preserve"> Ingresaron a cobro coactivo tres (03) procesos el Nº 2121, 2122 y 2111.
</t>
    </r>
    <r>
      <rPr>
        <b/>
        <sz val="9"/>
        <rFont val="Arial"/>
        <family val="2"/>
      </rPr>
      <t xml:space="preserve">El resultado del indicador: Satisfactorio, </t>
    </r>
    <r>
      <rPr>
        <sz val="9"/>
        <rFont val="Arial"/>
        <family val="2"/>
      </rPr>
      <t>sobrepaso la meta propuesta (90%), al obtener como resultado acumulado el 111%.</t>
    </r>
  </si>
  <si>
    <t xml:space="preserve">Medir la oportunidad en el traslado de los  Títulos y consignaciones recibidas para el proceso de cobro coactivo a las entidades afectadas. </t>
  </si>
  <si>
    <t xml:space="preserve">N°  de Endosos por traslado  a Entidades Afectadas * 100 / N° Títulos o Consignaciones efectivamente abonadas al proceso coactivo </t>
  </si>
  <si>
    <r>
      <rPr>
        <b/>
        <sz val="9"/>
        <rFont val="Arial"/>
        <family val="2"/>
      </rPr>
      <t xml:space="preserve">Nota Aclaratoria: </t>
    </r>
    <r>
      <rPr>
        <sz val="9"/>
        <rFont val="Arial"/>
        <family val="2"/>
      </rPr>
      <t xml:space="preserve">Durante los 3 primeros Trimestres, se incluyo en el registro del numerador, los títulos o consignaciones que jurídicamente no lograron ser abonados por no contar con la información necesaria por parte del emisor o depositante, sobre el nombre del ejecutado al cual debía abonase el pago.
</t>
    </r>
    <r>
      <rPr>
        <b/>
        <sz val="9"/>
        <rFont val="Arial"/>
        <family val="2"/>
      </rPr>
      <t>4to Trimestre:</t>
    </r>
    <r>
      <rPr>
        <sz val="9"/>
        <rFont val="Arial"/>
        <family val="2"/>
      </rPr>
      <t xml:space="preserve"> 34 títulos o consignaciones se endosaron por traslado a las entidades afectadas y 48 títulos o consignaciones fueron recibidas, incluyendo los que lograron ser abonados al cobro coactivo.
</t>
    </r>
    <r>
      <rPr>
        <b/>
        <sz val="9"/>
        <rFont val="Arial"/>
        <family val="2"/>
      </rPr>
      <t xml:space="preserve">Resultado año 2017: </t>
    </r>
    <r>
      <rPr>
        <sz val="9"/>
        <rFont val="Arial"/>
        <family val="2"/>
      </rPr>
      <t xml:space="preserve">172 títulos o consignaciones se endosaron por traslado a las entidades afectadas, de los cuales el 100%, fueron efectivamente abonados, donde se descontaron los 48 títulos o consignaciones que no pudieron ser abonados por no contar con la información necesaria.
</t>
    </r>
    <r>
      <rPr>
        <b/>
        <sz val="9"/>
        <rFont val="Arial"/>
        <family val="2"/>
      </rPr>
      <t>El resultado del indicador: Satisfactorio</t>
    </r>
    <r>
      <rPr>
        <sz val="9"/>
        <rFont val="Arial"/>
        <family val="2"/>
      </rPr>
      <t>, sobrepaso la meta propuesta (90%), al obtener como resultado acumulado el 111%.</t>
    </r>
  </si>
  <si>
    <t>Agotar la etapa de Cobro Persuasivo en el 100% de los procesos con Títulos Ejecutivos.</t>
  </si>
  <si>
    <t xml:space="preserve">Decretar el 100% de las medidas cautelares a los procesos con investigación de bienes positivos, mientras las posibilidades legales lo permitan. </t>
  </si>
  <si>
    <t>Medir el cumplimiento en el trámite de las medidas cautelares a los procesos de la vigencia  con investigación de bienes positivo</t>
  </si>
  <si>
    <t>N° Medidas Cautelares  *100 / N° Medidas aplicables a los bienes encontrados con información positiva durante la vigencia</t>
  </si>
  <si>
    <r>
      <rPr>
        <b/>
        <sz val="9"/>
        <rFont val="Arial"/>
        <family val="2"/>
      </rPr>
      <t xml:space="preserve">4to Trimestre: </t>
    </r>
    <r>
      <rPr>
        <sz val="9"/>
        <rFont val="Arial"/>
        <family val="2"/>
      </rPr>
      <t xml:space="preserve">Se decretaron 6 Medidas Cautelares de 6 Procesos con información patrimonial positiva, los cuales corresponden a la Subdirección de Jurisdicción Coactiva.
</t>
    </r>
    <r>
      <rPr>
        <b/>
        <sz val="9"/>
        <rFont val="Arial"/>
        <family val="2"/>
      </rPr>
      <t xml:space="preserve">Durante el año 2017: </t>
    </r>
    <r>
      <rPr>
        <sz val="9"/>
        <rFont val="Arial"/>
        <family val="2"/>
      </rPr>
      <t xml:space="preserve">Se decretaron en total 19 Medidas Cautelares de 19 Procesos con información patrimonial positiva. A la fecha incluyendo todas las vigencias de los 142 procesos activos, 81 cuenta con medidas cautelares decretadas.
</t>
    </r>
    <r>
      <rPr>
        <b/>
        <sz val="9"/>
        <rFont val="Arial"/>
        <family val="2"/>
      </rPr>
      <t>El resultado del indicador es Satisfactorio</t>
    </r>
    <r>
      <rPr>
        <sz val="9"/>
        <rFont val="Arial"/>
        <family val="2"/>
      </rPr>
      <t>, por cumplir la meta propuesta, 100%.</t>
    </r>
  </si>
  <si>
    <t>Aplicar saneamiento al 100% de los procesos de mínima cuantía sobre los cuales opere el fenómeno de la resimibilidad y con investigación de bienes negativa.</t>
  </si>
  <si>
    <t>Índice costo beneficio a los procesos con investigación de bienes negativa de mínima cuantía.</t>
  </si>
  <si>
    <t>Medir la eficiencia en la aplicación del saneamiento a Procesos de Mínima Cuantía sobre los cuales opere el fenómeno de la remisibilidad  y sobre los cuales exista investigación de bienes negativa.</t>
  </si>
  <si>
    <t>N° Procesos  a los cuales se les decrete el saneamiento por  Remisibilidad *100 / N° Procesos que cumplan con las condiciones para  el decreto de la remisión</t>
  </si>
  <si>
    <r>
      <rPr>
        <b/>
        <sz val="9"/>
        <rFont val="Arial"/>
        <family val="2"/>
      </rPr>
      <t xml:space="preserve">El resultado del indicador: Mínimo
</t>
    </r>
    <r>
      <rPr>
        <sz val="9"/>
        <rFont val="Arial"/>
        <family val="2"/>
      </rPr>
      <t>Para esta actividad se requería previamente la creación del Comité de Normalización de Cartera, el cual fue aprobado hasta el día 21 Dic 2017, mediante Resolución Reglamentaria Nª 039 y por el cual se aprobó el marco normativo que reglamenta la depuración de los procesos de cobro coactivo de mínima cuantía, con antigüedad de entre 10 a 20 años y con información negativa personal y patrimonial de los ejecutados.</t>
    </r>
  </si>
  <si>
    <t>Nivel de cumplimiento en la representación administrativa y judicial de la Entidad.</t>
  </si>
  <si>
    <t xml:space="preserve">No. de actuaciones realizadas en la representación judicial y extrajudicial de la Entidad * 100 /No. de actuaciones requeridas para la representación judicial y extrajudicial de la Entidad </t>
  </si>
  <si>
    <t>Nivel de cumplimiento en la  asesoría a dependencias y comités institucionales</t>
  </si>
  <si>
    <t>Número de asesorías brindadas por la OAJ * 100 /No. de asesorías requeridas a la OAJ</t>
  </si>
  <si>
    <t xml:space="preserve">Seguimiento a 31 de diciembre de 2017
En el acumulado anual se obtiene un resultado satisfactorio de 98% producto de la ejecución oportuna de 287 actividades relacionadas con conceptos jurídicos y de legalidad, revisión y proyección de actos administrativos, DPC y asesoría en comités, juntas y otras reuniones de las dependencias. Se encuentran 6 asesorías en trámite dentro del término para dar respuesta.
Con respecto a la meta anual el porcentaje de avance es 98%
</t>
  </si>
  <si>
    <r>
      <rPr>
        <b/>
        <sz val="9"/>
        <rFont val="Arial"/>
        <family val="2"/>
      </rPr>
      <t>Seguimiento diciembre de 2017:</t>
    </r>
    <r>
      <rPr>
        <sz val="9"/>
        <rFont val="Arial"/>
        <family val="2"/>
      </rPr>
      <t xml:space="preserve"> El nivel de cumplimiento de la actividad es del 100% y se ejecuto dentro del plazo establecido, es decir en el segundo trimestre.
La Subdirección de Carrera Administrativa elaboró el documento de estudio de perfiles cuyas actividades iniciaron desde el mes de febrero y finiquitadas en el mes de mayo de 2017, siendo entregado a la Dirección de Talento Humano mediante rad. 3-2017-14866 del 7 de junio de 2017, el cual sirvió de insumo para la elaboración del manual de funciones y competencias laborales, ya que a partir del mismo se discrimina la metodología utilizada para estudiar cada uno de los cargos por nivel, en cuanto al ajuste de  las funciones, conocimientos básicos, competencias comportamentales y requisitos de formación y experiencia, acorde a lo establecido en  la guía metodológica para la  elaboración de manuales de funciones y de competencias laborales establecido por el DAFP.</t>
    </r>
  </si>
  <si>
    <r>
      <t>Seguimiento a Diciembre de 2017:</t>
    </r>
    <r>
      <rPr>
        <sz val="9"/>
        <rFont val="Arial"/>
        <family val="2"/>
      </rPr>
      <t xml:space="preserve"> La Subdirección de Capacitación y Cooperación Técnica ejecutó durante la vigencia 2017, 87 acciones de formación que se llevaron a cabo en 157 sesiones, asignando 6.144 cupos con una intensidad horaria de 2.484 horas de formación, para un total, aplicando la formula del presente indicador de 64.566 horas hombre, lo que representa un 98% de cumplimiento sobre el 100% de la meta establecida. Es de precisar que en el trimestre se ejecutaron 16.948 horas hombre.</t>
    </r>
    <r>
      <rPr>
        <b/>
        <sz val="9"/>
        <rFont val="Arial"/>
        <family val="2"/>
      </rPr>
      <t/>
    </r>
  </si>
  <si>
    <t>Nivel de cumplimiento en la  emisión de  boletines con las políticas del régimen disciplinario.</t>
  </si>
  <si>
    <r>
      <rPr>
        <sz val="9"/>
        <rFont val="Arial"/>
        <family val="2"/>
      </rPr>
      <t xml:space="preserve">
</t>
    </r>
    <r>
      <rPr>
        <b/>
        <sz val="9"/>
        <rFont val="Arial"/>
        <family val="2"/>
      </rPr>
      <t xml:space="preserve">Seguimiento Diciembre de 2017: </t>
    </r>
    <r>
      <rPr>
        <sz val="9"/>
        <rFont val="Arial"/>
        <family val="2"/>
      </rPr>
      <t xml:space="preserve">
El nivel de avance en la  emisión del boletín trimestral en materia de políticas del régimen disciplinario fue del  100%, que comparado con el acumulado de las metas de los cuatro (4) trimestres , alcanza un cumpliendo del 100%, ubicándose en rango satisfactorio, dado que se emitieron 4 de los 4 boletines programadas,  así:
La Oficina de Asuntos Disciplinarios, mediante memorando  No. 3-2017-34813 dirigido a  la Dirección de Tecnologías de la Información y las Comunicaciones radicado el 21 de diciembre de 2017, remitió para su publicación el Boletín Nº 4 del año 2017 con el tema: "DIFERENCIA ENTRE DERECHO DE PETICIÓN Y QUEJA DISCIPLINARIA", el cual  se puede consultar en la página web de la entidad, en el link: http://www.contraloriabogota.gov.co/boletines-asuntos-disciplinarios.</t>
    </r>
    <r>
      <rPr>
        <b/>
        <sz val="9"/>
        <rFont val="Arial"/>
        <family val="2"/>
      </rPr>
      <t xml:space="preserve">
</t>
    </r>
    <r>
      <rPr>
        <sz val="8"/>
        <rFont val="Arial"/>
        <family val="2"/>
      </rPr>
      <t/>
    </r>
  </si>
  <si>
    <t xml:space="preserve">Realizar actividades de sensibilización a los Servidores Públicos de la Contraloría de Bogotá, D.C., relacionadas con los lineamientos del nuevo Sistema de Evaluación del Desempeño Laboral reglamentado a través del Acuerdo 565 de 2016 de la CNSC. </t>
  </si>
  <si>
    <r>
      <t xml:space="preserve">
</t>
    </r>
    <r>
      <rPr>
        <b/>
        <sz val="9"/>
        <rFont val="Arial"/>
        <family val="2"/>
      </rPr>
      <t>Seguimiento diciembre 2017</t>
    </r>
    <r>
      <rPr>
        <sz val="9"/>
        <rFont val="Arial"/>
        <family val="2"/>
      </rPr>
      <t xml:space="preserve">: El nivel de cumplimiento de la realización de las Actividades  de Sensibilización en el nuevo sistema de evaluación del desempeño laboral, refleja un 100% de cumplimiento en nivel satisfactorio, ya que durante la vigencia se ejecutaron las 8 actividades de sensibilización programadas. </t>
    </r>
  </si>
  <si>
    <r>
      <rPr>
        <b/>
        <sz val="9"/>
        <rFont val="Arial"/>
        <family val="2"/>
      </rPr>
      <t xml:space="preserve">
Seguimiento diciembre 2017: </t>
    </r>
    <r>
      <rPr>
        <sz val="9"/>
        <rFont val="Arial"/>
        <family val="2"/>
      </rPr>
      <t xml:space="preserve">Con la finalidad de fortalecer el ambiente laboral y la gestión institucional en los servidores públicos de la Contraloría de Bogotá, D.C., se realizaron 10 jornadas de clima laboral durante los días 5, 6, 20, 23, 24, 25, 26 y 30 de Octubre y los días 1 y 2 de noviembre, cumpliendo con la cobertura proyectada de las 10 jornadas. 
De otra parte se realizaron seis (6) sesiones adicionales de coaching individual para seis servidores los días 10 y 14 de noviembre y se realizo un Taller de Estrategias de Comunicación Positiva y la Felicidad en el trabajo el día 8 de noviembre  para veintiséis (26) Auxiliares de Servicios Generales.
</t>
    </r>
    <r>
      <rPr>
        <b/>
        <sz val="9"/>
        <rFont val="Arial"/>
        <family val="2"/>
      </rPr>
      <t xml:space="preserve">
</t>
    </r>
  </si>
  <si>
    <r>
      <t xml:space="preserve">
Seguimiento a Diciembre de 2017: </t>
    </r>
    <r>
      <rPr>
        <sz val="9"/>
        <rFont val="Arial"/>
        <family val="2"/>
      </rPr>
      <t xml:space="preserve">La Subdirección de Capacitación y Cooperación Técnica con el apoyo de la Oficina Asesora de Comunicaciones realizó en el último trimestre la Campaña 7, relacionada con la elaboración de un Video Institucional alusivo al valor del respeto al momento de participar en una acción de formación.  La última actividad - Campaña 8: referente a la promoción de los 8 valores institucionales, en las mesas de registro en el evento de conmemoración del día del servidor público del Control Fiscal. Así las cosas de 8 campañas programadas para la vigencia 2017, se ejecutaron 8, para un cumplimiento de la meta en el 100%. 
</t>
    </r>
    <r>
      <rPr>
        <b/>
        <sz val="9"/>
        <rFont val="Arial"/>
        <family val="2"/>
      </rPr>
      <t xml:space="preserve">
Seguimiento septiembre de 2017: </t>
    </r>
    <r>
      <rPr>
        <sz val="9"/>
        <rFont val="Arial"/>
        <family val="2"/>
      </rPr>
      <t>La Subdirección de Capacitación y Cooperación Técnica complementó la difusión de los valores  con la realización de dos (2) campañas adicionales, así: 
Campaña 5: Presentación de los videos relacionados con el tema de valores institucionales en el video Wall de la Entidad y en el televisor ubicado en la Subdirección de Capacitación y Cooperación Técnica.
Campaña 6: Promoción de los 8 valores institucionales al momento de rotar el anexo 6 "Registro de Asistencia de Capacitación" del procedimiento para la Planificación, Ejecución, Modificación y Evaluación de la Capacitación", en cada una de las acciones de formación realizadas en el período de seguimiento.</t>
    </r>
    <r>
      <rPr>
        <b/>
        <sz val="9"/>
        <rFont val="Arial"/>
        <family val="2"/>
      </rPr>
      <t xml:space="preserve">
</t>
    </r>
  </si>
  <si>
    <t xml:space="preserve">Medir el cumplimiento en el seguimiento  a la ejecución del PAC </t>
  </si>
  <si>
    <r>
      <rPr>
        <b/>
        <sz val="9"/>
        <color theme="1"/>
        <rFont val="Arial"/>
        <family val="2"/>
      </rPr>
      <t xml:space="preserve">SEGUIMIENTO A 31 DICIEMBRE 2017
</t>
    </r>
    <r>
      <rPr>
        <sz val="9"/>
        <color theme="1"/>
        <rFont val="Arial"/>
        <family val="2"/>
      </rPr>
      <t>El nivel de cumplimiento en el seguimiento a la ejecución del PAC fue del 89%, dado que el total del PAC programado para la Unidad Ejecutora 01 fue de $134.054.647.000 y la ejecución acumulada del primer, segundo, tercer y cuarto trimestre corresponde a $118.839.595.140, ubicándose en un rango de calificación aceptable.
Vale la pena aclarar que la ejecución del PAC es acumulada, por consiguiente el numerador corresponde  al valor de los pagos realizados en la anualidad, a la fecha del corte de seguimiento.</t>
    </r>
  </si>
  <si>
    <r>
      <rPr>
        <b/>
        <sz val="9"/>
        <rFont val="Arial"/>
        <family val="2"/>
      </rPr>
      <t xml:space="preserve">SEGUIMIENTO A 31 DICIEMBRE 2017
</t>
    </r>
    <r>
      <rPr>
        <sz val="9"/>
        <rFont val="Arial"/>
        <family val="2"/>
      </rPr>
      <t>El Nivel de avance en la ejecución del Plan Anual de Adquisiciones fue del 99% ,  ubicándose en rango SATISFACTORIO, al suscribirse  379 contratos de las 382  necesidades  programadas en el PAA 2017.</t>
    </r>
  </si>
  <si>
    <t xml:space="preserve">Ejecutar el presupuesto del Plan Anual de Adquisidores </t>
  </si>
  <si>
    <t xml:space="preserve">Nivel de cumplimiento en la ejecución del presupuesto del Plan Anual de Adquisiciones </t>
  </si>
  <si>
    <t>Medir la eficacia en la ejecución presupuestal del Plan Anual de Adquisidores.</t>
  </si>
  <si>
    <r>
      <rPr>
        <b/>
        <sz val="9"/>
        <rFont val="Arial"/>
        <family val="2"/>
      </rPr>
      <t xml:space="preserve">SEGUIMIENTO A 31 DE DICIEMBRE 2017: </t>
    </r>
    <r>
      <rPr>
        <sz val="9"/>
        <rFont val="Arial"/>
        <family val="2"/>
      </rPr>
      <t xml:space="preserve">El Nivel de avance en la ejecución presupuestal del Plan Anual de Adquisiciones fue del 93,41% que comparado con el acumulado de las metas de los tres trimestres rexportados  alcanza un cumplimiento del 93,34%, ubicándose en rango SATISFACTORIO, al ejecutarse $15,109,883,766 de $16,175,705,423 correspondientes al valor total estimado del PAA. 2017. </t>
    </r>
  </si>
  <si>
    <r>
      <rPr>
        <b/>
        <sz val="9"/>
        <rFont val="Arial"/>
        <family val="2"/>
      </rPr>
      <t xml:space="preserve">SEGUIMIENTO A 31 DE DICIEMBRE 2017: </t>
    </r>
    <r>
      <rPr>
        <sz val="9"/>
        <rFont val="Arial"/>
        <family val="2"/>
      </rPr>
      <t xml:space="preserve">
El resultado de las encuestas de percepción del servicio del transporte con corte a diciembre 31 de 2017 refleja un nivel de cumplimiento del 100%, resultado que comparado con la meta anual refleja un avance del 111%. Lo que  evidencia un nivel de satisfacción de los usuarios con respecto al servicio  de transporte.</t>
    </r>
    <r>
      <rPr>
        <b/>
        <sz val="10"/>
        <rFont val="Calibri"/>
        <family val="2"/>
      </rPr>
      <t/>
    </r>
  </si>
  <si>
    <t xml:space="preserve">Nivel de satisfacción del cliente interno frente  a la provisión del servicio de aseo y cafetería </t>
  </si>
  <si>
    <t>Medir el nivel de satisfacción de los clientes internos  frente a la provisión del servicio de Aseo y Cafetería</t>
  </si>
  <si>
    <r>
      <rPr>
        <b/>
        <sz val="9"/>
        <rFont val="Arial"/>
        <family val="2"/>
      </rPr>
      <t xml:space="preserve">SEGUIMIENTO A 31 DICIEMBRE 2017,
</t>
    </r>
    <r>
      <rPr>
        <sz val="9"/>
        <rFont val="Arial"/>
        <family val="2"/>
      </rPr>
      <t>El resultado de las encuestas de percepción del servicio de aseo y cafetería con corte a diciembre 31 de 2017,  refleja un nivel de cumplimiento del 85%, los cuales corresponden al rango de aceptable. Sin embargo el resultado del 85% comparado con la meta anual obtiene un rango  del 94% que lo ubica en un nivel de Satisfactorio en la prestación del servicio.</t>
    </r>
  </si>
  <si>
    <t>Promedio del tiempo de  atención de las solicitudes para el suministro de elementos de consumo.</t>
  </si>
  <si>
    <t>&gt;7 días</t>
  </si>
  <si>
    <t>&lt;=7 días y &gt;6 días</t>
  </si>
  <si>
    <t>&lt;= 6 días</t>
  </si>
  <si>
    <t>Ejecutar los recursos asignados en la meta 2 del proyecto de inversión 1195, Implementar los programas ambientales establecidos en el Plan Institucional de gestión Ambiental PIGA.</t>
  </si>
  <si>
    <r>
      <t>Recursos Ejecutados</t>
    </r>
    <r>
      <rPr>
        <sz val="10"/>
        <color rgb="FFFF0000"/>
        <rFont val="Arial"/>
        <family val="2"/>
      </rPr>
      <t xml:space="preserve"> </t>
    </r>
    <r>
      <rPr>
        <sz val="10"/>
        <rFont val="Arial"/>
        <family val="2"/>
      </rPr>
      <t>*100 /Total de recursos asignados a la meta 2.</t>
    </r>
  </si>
  <si>
    <t xml:space="preserve">Medir la eficacia en la adquisición de los vehículos para cumplir con el ejercicio de la función de vigilancia y control a la gestión fiscal </t>
  </si>
  <si>
    <r>
      <rPr>
        <b/>
        <sz val="9"/>
        <rFont val="Arial"/>
        <family val="2"/>
      </rPr>
      <t>SEGUIMIENTO A 31 DICIEMBRE 2017</t>
    </r>
    <r>
      <rPr>
        <sz val="9"/>
        <rFont val="Arial"/>
        <family val="2"/>
      </rPr>
      <t xml:space="preserve">
El nivel de cumplimiento de la adquisición de vehículos fue del 100%,  dado que el total de los vehículos programados fueron adquiridos, ubicándose en un rango de calificación "SATISFACTORIO".
En tal sentido, se llevo a cabo la compra de ocho (8) vehículos a través de  Acuerdo Marco - Colombia Compra Eficiente, de la siguiente manera: 
1. Una (1) camioneta marca Nissan doble cabina modelo 2018.
2. Cinco (5) camionetas marca Renault Duster - Dynamic modelo 2018.
3. Dos  (2) camperos  marca Grand Cherokee Limited  modelo 2017.
Con un nivel de cumplimiento satisfactorio del 100%  en la adquisición de vehículos para la Entidad.</t>
    </r>
  </si>
  <si>
    <t>Gestión Documental</t>
  </si>
  <si>
    <t>Conocer la opinión de los usuarios en relación con los  servicios prestados por el Proceso de Gestión Documental</t>
  </si>
  <si>
    <t>Capacitar en materia de Gestión Documental a las dependencias de la entidad</t>
  </si>
  <si>
    <t>Medir el cumplimiento de las capacitaciones  en materia de Gestión Documental a las dependencias de la entidad</t>
  </si>
  <si>
    <t>Ejecutar los contratos previstos en cumplimiento de la Meta 3 del proyecto de inversión 1195 del Plan de Desarrollo 2016-2020 "Bogotá mejor para todos", relacionado con intervenir 100% el acervo documental de la Contraloría de Bogotá D.C. (Identificación, Organización, Clasificación y Depuración).</t>
  </si>
  <si>
    <t>Nivel de cumplimiento en la ejecución de los recursos previstos en la meta 3 del proyecto de inversión 1195 del Plan de Desarrollo 2016-2020 "Bogotá mejor para todos".</t>
  </si>
  <si>
    <t>Medir la eficacia en la ejecución de los recursos asignados a la meta 3 del proyecto de inversión 1195 del Plan de Desarrollo 2016-2020 "Bogotá mejor para todos"..</t>
  </si>
  <si>
    <t>Total de los recursos comprometidos de la meta 3 proyecto de inversión 1195 * 100/Total de recursos presupuestales asignados a la meta 3 del proyecto de inversión 1195 del Plan de Desarrollo 2016-2020 "Bogotá mejor para todos".</t>
  </si>
  <si>
    <t xml:space="preserve">Sgto. diciembre de /2017.
El nivel de avance en la de ejecución de las auditorías internas programadas en el PAAI de la vigencia fue del 131%, que comparado con la meta acumulada de los cuatro(4) trimestres, la meta trimestre ( 96%) alcanza un cumplimiento del 136% lo que lo ubica en nivel satisfactorio y frente a la meta anual registra un avance del 127%, dado que en total se han ejecutado a este reporte 34 de las 26 auditorías programadas para la vigencia. En este periodo se efectuaron las siguientes auditorias:
• Atención de peticiones, quejas sugerencias y reclamos (pqr)-atención al ciudadano.  
• Auditoría a la gestión contractual.
• Auditoría al sistema de seguridad y salud en el trabajo.
• Gestión proceso gestión documental.
• Auditoría a gestión financiera - control interno contable (septiembre)
• Gestión al proceso de tecnologías de la información y las comunicaciones
• Arqueo a las cajas menores (dirección administrativa y financiera y despacho del contralor) 
• Auditoría seguimiento implementación NIC-SP.
• Auditoría al control y manejo de inventarios.
</t>
  </si>
  <si>
    <t xml:space="preserve">Sgto. diciembre/2017. El nivel de avance en la ejecución de verificaciones a los planes de mejoramiento programados en el PAAI de la vigencia fue del 100%, que comparado con la meta del trimestre (100%) alcanza un cumplimiento del 100% lo que lo ubica en nivel satisfactorio y frente a la meta anual registra un avance del 100%, es decir, se efectuaron las verificaciones programadas a los planes de mejoramiento; es de precisar que se efectuó el seguimiento a la totalidad de los procesos que conforman el SIG de la Contraloría  (11 actualmente) . De igual forma, se realizó seguimiento y consolidación del Plan de Mejoramiento Institucional, de conformidad con el "Procedimiento Plan de Mejoramiento ", adoptado mediante  R.R. No. 034 de 2017 y con la periodicidad establecida mediante la Circular 011 de 2016. </t>
  </si>
  <si>
    <t>Adelantar acciones de sensibilización sobre la cultura de autocontrol y autoevaluación  establecidas en el Programa Anual de Auditorías Internas</t>
  </si>
  <si>
    <t xml:space="preserve">Nivel de cumplimiento de las actividades de sensibilización Fomento de Cultura de Autocontrol y autoevaluación </t>
  </si>
  <si>
    <t>Sgto. diciembre/2017. El nivel de avance en la ejecución de las actividades de sensibilización Fomento de Cultura de Autocontrol y autoevaluación fue del 137%, que comparado con el acumulado de los cuatro (4) trimestres, la meta del trimestre (100%) alcanza un cumplimiento del 135% (Satisfactorio) y frente a la meta anual registra un avance del 135%, ya que se han ejecutaron 41  de las 30 actividades programadas estas fueron para el periodo octubre-diciembre: nueve (9) TIPS, una alerta y un boletín   los cuales se describen a continuación:
Alerta No. 05 de 07/11/2017: Fase de Transición Norma ISO 9001:2015, Sistema de Gestión de la Calidad, relacionada con el cumplimiento de actividades tales como el conocimiento del Nuevo Mapa de procesos,
 TIPS: Autocontrol en nuestra vida cotidiana
Una mirada al autocontrol
Tolerancia, un valor para recordar
Autocontrol y Trabajo en Equipo
Autocontrol y Disciplina Personal
Autocontrol: Habilidad básica de un líder
autocontrol: Principios del auditor interno
El valor como principio básico del ser humano
La procrastinarían afecta tu autocontrol
Sgto. septiembre/2017. El nivel de avance en la ejecución de las actividades de sensibilización Fomento de Cultura de Autocontrol y autoevaluación fue del 117%, que comparado con el acumulado de los cuatro (4) trimestres, la meta del trimestre (100%) alcanza un cumplimiento del 135% (Satisfactorio) y frente a la meta anual registra un avance del 100%, ya que se han ejecutaron 30  de las 30 actividades programadas estas fueron para el periodo julio-septiembre: diez (10) TIPS,  los cuales se describen a continuación:
• La excelencia hace parte del autocontrol.
• Actuar en convicción por una meta común.
• Una reflexión –nuestras actuaciones públicas.
• Aplicación del autocontrol en la organización.
• Autocontrol un recurso poderoso.
• El respeto como base para el ejercicio del autocontrol.
• Autocontrol sinónimo de disciplina.
• Autocontrol equilibrio emocional.
• El compromiso laboral también es autocontrol.
• Valores que fortalecen el autocontrol.
Sgto. junio/2017.
El nivel de avance en la ejecución de las actividades de sensibilización Fomento de Cultura de Autocontrol y autoevaluación fue del 67%, que comparado con el acumulado de los dos (2) trimestres, la meta del trimestre (50%) alcanza un cumplimiento del 133% (Satisfactorio) y frente a la meta anual registra un avance del 67%, ya que se han ejecutaron 20  de las 30 actividades programadas entre estas para el periodo abril junio se efectuaron once (11) así: 9 TIPS,  una alerta y un boletín las cuales se describen a continuación
• Alerta Interna de Control No 3. Análisis de causa y Formulación de acciones para el Plan de Mejoramiento.
• Tips: Autocontrol es: trabajar con Responsabilidad y amor!; El Autocontrol en la inteligencia emocional; Para lograr el autocontrol debemos trabajar cada minuto, cada instante de nuestra vida, pues todos los días nos enfrentamos a un mundo cambiante que evoluciona constantemente…….; Ambiente y equipos de trabajo; Autocontrol es la actitud permanente de las personas y de las organizaciones para definir sus propios niveles de regulación en la búsqueda de sus objetivos y propósitos…; Autocontrol es disciplina. Es cumplir con nuestras obligaciones en el tiempo adecuado y en el momento indicado; Controla tu mente es allí donde nace el autocontrol y el autocontrol es el compromiso de todos y cada uno de los funcionarios de la Contraloría de Bogotá;  la disciplina es la base para autocontrolarse; Como tener autocontrol en tu vida
• Boletín Autocontrolando, comunicado el 28 de junio s a través de correo institucional.
En el primer trimestre se  efectuaron 9 actividades así:
• Alertas: 
No 01  del 19 -01-2017- Depuración y unificación de la información publicada en la página web y en la intranet de la entidad. 
Alerta No 02 del 28-03-2017- Acción Auditoría Interna de Calidad vigencia 2016- no cumplida.
• Tips: Es urgente ser feliz porque lo importante eres tú; Ser feliz una experiencia posible en familia; Educando nuestra mente lograremos mejora el rendimiento laboral; El impacto del auto control en nuestro entorno; Autocontrol es aprender a poner la otra mejilla, Autocontrol semilla de honestidad; Autocontrol es.. La grandeza de ser humildes.
El 33 % restante se desarrollará durante el segundo semestre de 2017</t>
  </si>
  <si>
    <t>Sgto. diciembre/2017. El nivel de avance en la ejecución de verificaciones a los mapas de riesgo por proceso programados en el PAAI de la vigencia fue del 100%, que comparado con la meta del trimestre (100%) alcanza un cumplimiento del 100% , alcanzando un nivel satisfactorio. Frente a la meta anual registra un avance del100%, es decir, se efectuaron las verificaciones programadas a los mapas de riesgo de los  procesos de la entidad . De igual forma, se realizó seguimiento y consolidación del mapa de riesgos Institucional, de conformidad  con la periodicidad establecida en la Circular 011 de 2016.  
Sgto. septiembre/2017. El nivel de avance en la ejecución de verificaciones a los mapas de riesgo por proceso programados en el PAAI de la vigencia fue del 67%, que comparado con la meta del trimestre (37%) alcanza un cumplimiento del 100% , alcanzando un nivel satisfactorio. Frente a la meta anual registra un avance del 67%, es decir, se efectuaron las verificaciones programadas a los mapas de riesgo correspondiente a los 14 procesos. De igual forma, se realizó seguimiento y consolidación del mapa de riesgos Institucional, de conformidad  con la periodicidad establecida en la Circular 011 de 2016.  
El 33 % restante se desarrollará durante el cuarto trimestre de 2017.
Sgto. junio/2017. El nivel de avance en la ejecución de verificaciones a los mapas de riesgo por proceso programados en el PAAI de la vigencia fue del 33%, que comparado con la meta del trimestre (33%) alcanza un cumplimiento del 101% , alcanzando un nivel satisfactorio. Frente a la meta anual registra un avance del 33%, es decir, se efectuaron las verificaciones programadas a los mapas de riesgo correspondiente a los 14 procesos. De igual forma, se realizó seguimiento y consolidación del mapa de riesgos Institucional, de conformidad  con la periodicidad establecida en la Circular 011 de 2016.  
El 67 % restante se desarrollará durante el segundo semestre de 2017.</t>
  </si>
  <si>
    <t>Sgto. diciembre/2017. El nivel de avance en la ejecución cumplimiento en la presentación de informes a entes externos fue del 100%, que comparado con el acumulado de las metas de los cuatro (4) trimestres la meta del trimestre (100%) alcanza el 100% de eficacia (Satisfactorio) y frente a la meta anual registra un avance del 100%, dado que se han presentado en total 21 de los 21 informes programados, así:  en el periodo octubre -diciembre se elaboraron y  presentaron los siguientes informes:
• Reporte de la Cuenta Auditoría Fiscal meses de septiembre, octubre y noviembre  de 2017
• Informe pormenorizado del Estado de Control Interno. 
Sgto. septiembre/2017. El nivel de avance en la ejecución cumplimiento en la presentación de informes a entes externos fue del 81%, que comparado con el acumulado de las metas de los tres (3) trimestres la meta del trimestre (81%) alcanza el 100% de eficacia (Satisfactorio) y frente a la meta anual registra un avance del100%, dado que se han presentado en total 17 de los 21 informes programados, así:  en el periodo julio- septiembre se elaboraron y  presentaron los siguientes informes:
• Reporte de la Cuenta Auditoría Fiscal meses de junio, julio, agosto y la cuenta semestral de 2017
• Informe pormenorizado del Estado de Control Interno. 
Sgto. junio/2017. El nivel de avance en la ejecución cumplimiento en la presentación de informes a entes externos fue del 57%, que comparado con el acumulado de las metas de los dos (2) trimestres la meta del trimestre (52%) alcanza el 110% de eficacia (Satisfactorio) y frente a la meta anual registra un avance del 57%, dado que se han presentado en total 12 de los 21 informes programados, así:  en el periodo abril- junio se elaboraron y  presentaron los siguientes informes:
• Auditoría evaluaciones sobre austeridad del gasto de la Contraloría de Bogotá D.C
• Se rindieron las siguientes cuentas mensuales de marzo, abril y mayo de 2017 y en el primer trimestre, los informes presentados fueron:
• Auditoría evaluaciones sobre austeridad del gasto de la Contraloría de Bogotá D.C
• Informe ejecutivo anual evaluación del sistema de control interno  -
• Informe pormenorizado del estado de control interno - Ley 1474 de 2011.
• Informe de control interno contable incluye encuesta de control interno contable.
De igual forma, se rindieron las siguientes cuentas:
Mensuales de diciembre de 2016, enero y febrero de 2017
Anual – vigencia 2016.
El 43 % restante se desarrollará durante el segundo semestre de 2017.</t>
  </si>
  <si>
    <t>Dependencia responsable
(7)</t>
  </si>
  <si>
    <t>Denominador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</si>
</sst>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quot;$&quot;#,##0"/>
    <numFmt numFmtId="44" formatCode="_-&quot;$&quot;* #,##0.00_-;\-&quot;$&quot;* #,##0.00_-;_-&quot;$&quot;* &quot;-&quot;??_-;_-@_-"/>
    <numFmt numFmtId="43" formatCode="_-* #,##0.00_-;\-* #,##0.00_-;_-* &quot;-&quot;??_-;_-@_-"/>
    <numFmt numFmtId="164" formatCode="_ * #,##0.00_ ;_ * \-#,##0.00_ ;_ * &quot;-&quot;??_ ;_ @_ "/>
    <numFmt numFmtId="165" formatCode="0.0%"/>
    <numFmt numFmtId="166" formatCode="[$$-240A]#,##0"/>
    <numFmt numFmtId="167" formatCode="_ * #,##0_ ;_ * \-#,##0_ ;_ * &quot;-&quot;??_ ;_ @_ "/>
    <numFmt numFmtId="168" formatCode="#,##0_ ;\-#,##0\ "/>
    <numFmt numFmtId="169" formatCode="&quot;$&quot;#,##0.00"/>
    <numFmt numFmtId="170" formatCode="0.0"/>
    <numFmt numFmtId="171" formatCode="#,##0.0_ ;\-#,##0.0\ "/>
  </numFmts>
  <fonts count="42" x14ac:knownFonts="1">
    <font>
      <sz val="10"/>
      <name val="Arial"/>
    </font>
    <font>
      <sz val="11"/>
      <color theme="1"/>
      <name val="Calibri"/>
      <family val="2"/>
      <scheme val="minor"/>
    </font>
    <font>
      <sz val="10"/>
      <name val="Arial"/>
      <family val="2"/>
    </font>
    <font>
      <sz val="8"/>
      <name val="Arial"/>
      <family val="2"/>
    </font>
    <font>
      <b/>
      <sz val="10"/>
      <name val="Arial"/>
      <family val="2"/>
    </font>
    <font>
      <u/>
      <sz val="10"/>
      <color indexed="12"/>
      <name val="Arial"/>
      <family val="2"/>
    </font>
    <font>
      <b/>
      <sz val="16"/>
      <color indexed="62"/>
      <name val="Arial"/>
      <family val="2"/>
    </font>
    <font>
      <sz val="10"/>
      <name val="Arial"/>
      <family val="2"/>
    </font>
    <font>
      <sz val="9"/>
      <name val="Arial"/>
      <family val="2"/>
    </font>
    <font>
      <b/>
      <sz val="10"/>
      <color indexed="62"/>
      <name val="Arial"/>
      <family val="2"/>
    </font>
    <font>
      <sz val="10"/>
      <name val="Arial"/>
      <family val="2"/>
    </font>
    <font>
      <u/>
      <sz val="10"/>
      <color indexed="12"/>
      <name val="Arial"/>
      <family val="2"/>
    </font>
    <font>
      <sz val="10"/>
      <name val="Arial"/>
      <family val="2"/>
    </font>
    <font>
      <u/>
      <sz val="10"/>
      <color indexed="12"/>
      <name val="Arial"/>
      <family val="2"/>
    </font>
    <font>
      <sz val="8"/>
      <color indexed="8"/>
      <name val="Arial"/>
      <family val="2"/>
    </font>
    <font>
      <b/>
      <sz val="8"/>
      <color indexed="8"/>
      <name val="Arial"/>
      <family val="2"/>
    </font>
    <font>
      <b/>
      <sz val="8"/>
      <color indexed="10"/>
      <name val="Arial"/>
      <family val="2"/>
    </font>
    <font>
      <sz val="11"/>
      <color indexed="8"/>
      <name val="Calibri"/>
      <family val="2"/>
    </font>
    <font>
      <sz val="8"/>
      <color indexed="81"/>
      <name val="Tahoma"/>
      <family val="2"/>
    </font>
    <font>
      <b/>
      <sz val="10"/>
      <name val="Calibri"/>
      <family val="2"/>
    </font>
    <font>
      <b/>
      <sz val="9"/>
      <color indexed="81"/>
      <name val="Tahoma"/>
      <family val="2"/>
    </font>
    <font>
      <sz val="9"/>
      <color indexed="81"/>
      <name val="Tahoma"/>
      <family val="2"/>
    </font>
    <font>
      <sz val="11"/>
      <color theme="1"/>
      <name val="Calibri"/>
      <family val="2"/>
      <scheme val="minor"/>
    </font>
    <font>
      <sz val="10"/>
      <color rgb="FFFF0000"/>
      <name val="Arial"/>
      <family val="2"/>
    </font>
    <font>
      <sz val="10"/>
      <color theme="1"/>
      <name val="Arial"/>
      <family val="2"/>
    </font>
    <font>
      <b/>
      <sz val="10"/>
      <color indexed="10"/>
      <name val="Arial"/>
      <family val="2"/>
    </font>
    <font>
      <sz val="12"/>
      <name val="Arial"/>
      <family val="2"/>
    </font>
    <font>
      <sz val="11"/>
      <name val="Arial"/>
      <family val="2"/>
    </font>
    <font>
      <b/>
      <sz val="10"/>
      <color rgb="FFFF0000"/>
      <name val="Arial"/>
      <family val="2"/>
    </font>
    <font>
      <sz val="10"/>
      <name val="Arial"/>
      <family val="2"/>
    </font>
    <font>
      <sz val="10"/>
      <name val="Arial"/>
      <family val="2"/>
    </font>
    <font>
      <sz val="10"/>
      <color theme="0"/>
      <name val="Arial"/>
      <family val="2"/>
    </font>
    <font>
      <b/>
      <sz val="9"/>
      <name val="Arial"/>
      <family val="2"/>
    </font>
    <font>
      <i/>
      <sz val="9"/>
      <color indexed="10"/>
      <name val="Arial"/>
      <family val="2"/>
    </font>
    <font>
      <i/>
      <sz val="9"/>
      <name val="Arial"/>
      <family val="2"/>
    </font>
    <font>
      <sz val="9"/>
      <color indexed="30"/>
      <name val="Arial"/>
      <family val="2"/>
    </font>
    <font>
      <sz val="9"/>
      <color theme="1"/>
      <name val="Arial"/>
      <family val="2"/>
    </font>
    <font>
      <b/>
      <sz val="9"/>
      <color indexed="8"/>
      <name val="Arial"/>
      <family val="2"/>
    </font>
    <font>
      <sz val="9"/>
      <color indexed="8"/>
      <name val="Arial"/>
      <family val="2"/>
    </font>
    <font>
      <sz val="9"/>
      <color indexed="10"/>
      <name val="Arial"/>
      <family val="2"/>
    </font>
    <font>
      <b/>
      <sz val="9"/>
      <color theme="1"/>
      <name val="Arial"/>
      <family val="2"/>
    </font>
    <font>
      <sz val="9"/>
      <color rgb="FFFF0000"/>
      <name val="Arial"/>
      <family val="2"/>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00FF00"/>
        <bgColor indexed="64"/>
      </patternFill>
    </fill>
    <fill>
      <patternFill patternType="solid">
        <fgColor rgb="FF92D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7">
    <xf numFmtId="0" fontId="0" fillId="0" borderId="0"/>
    <xf numFmtId="0" fontId="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12" fillId="0" borderId="0" applyFont="0" applyFill="0" applyBorder="0" applyAlignment="0" applyProtection="0"/>
    <xf numFmtId="164" fontId="7" fillId="0" borderId="0" applyFont="0" applyFill="0" applyBorder="0" applyAlignment="0" applyProtection="0"/>
    <xf numFmtId="0" fontId="7" fillId="0" borderId="0"/>
    <xf numFmtId="0" fontId="10" fillId="0" borderId="0"/>
    <xf numFmtId="0" fontId="7" fillId="0" borderId="0"/>
    <xf numFmtId="0" fontId="7" fillId="0" borderId="0"/>
    <xf numFmtId="0" fontId="12" fillId="0" borderId="0"/>
    <xf numFmtId="0" fontId="7" fillId="0" borderId="0"/>
    <xf numFmtId="0" fontId="7" fillId="0" borderId="0"/>
    <xf numFmtId="0" fontId="22" fillId="0" borderId="0"/>
    <xf numFmtId="0" fontId="17" fillId="0" borderId="0"/>
    <xf numFmtId="0" fontId="7" fillId="0" borderId="0"/>
    <xf numFmtId="9" fontId="2"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9" fillId="0" borderId="0" applyFont="0" applyFill="0" applyBorder="0" applyAlignment="0" applyProtection="0"/>
    <xf numFmtId="9" fontId="17" fillId="0" borderId="0" applyFont="0" applyFill="0" applyBorder="0" applyAlignment="0" applyProtection="0"/>
    <xf numFmtId="0" fontId="2" fillId="0" borderId="0"/>
    <xf numFmtId="44" fontId="30" fillId="0" borderId="0" applyFont="0" applyFill="0" applyBorder="0" applyAlignment="0" applyProtection="0"/>
    <xf numFmtId="0" fontId="1" fillId="0" borderId="0"/>
    <xf numFmtId="0" fontId="2" fillId="0" borderId="0"/>
    <xf numFmtId="9" fontId="2" fillId="0" borderId="0" applyFont="0" applyFill="0" applyBorder="0" applyAlignment="0" applyProtection="0"/>
  </cellStyleXfs>
  <cellXfs count="436">
    <xf numFmtId="0" fontId="0" fillId="0" borderId="0" xfId="0"/>
    <xf numFmtId="0" fontId="0" fillId="2" borderId="0" xfId="0" applyFill="1"/>
    <xf numFmtId="0" fontId="0" fillId="2" borderId="0" xfId="0" applyFill="1" applyBorder="1"/>
    <xf numFmtId="0" fontId="5" fillId="2" borderId="0" xfId="1" applyFill="1" applyAlignment="1" applyProtection="1"/>
    <xf numFmtId="0" fontId="4" fillId="2" borderId="1" xfId="0" applyFont="1" applyFill="1" applyBorder="1" applyAlignment="1">
      <alignment horizontal="center"/>
    </xf>
    <xf numFmtId="0" fontId="4" fillId="2" borderId="1" xfId="0" applyFont="1" applyFill="1" applyBorder="1"/>
    <xf numFmtId="0" fontId="2" fillId="2" borderId="0" xfId="0" applyFont="1" applyFill="1" applyBorder="1"/>
    <xf numFmtId="14" fontId="0" fillId="2" borderId="0" xfId="0" applyNumberFormat="1" applyFill="1"/>
    <xf numFmtId="14" fontId="8" fillId="2" borderId="0" xfId="0" applyNumberFormat="1" applyFont="1" applyFill="1" applyAlignment="1">
      <alignment horizontal="center"/>
    </xf>
    <xf numFmtId="0" fontId="0" fillId="2" borderId="0" xfId="0" quotePrefix="1" applyFill="1" applyAlignment="1">
      <alignment horizontal="left"/>
    </xf>
    <xf numFmtId="3" fontId="0" fillId="2" borderId="0" xfId="0" applyNumberFormat="1" applyFill="1"/>
    <xf numFmtId="0" fontId="2" fillId="2" borderId="0" xfId="0" applyFont="1" applyFill="1"/>
    <xf numFmtId="0" fontId="2" fillId="0" borderId="0" xfId="0" applyFont="1"/>
    <xf numFmtId="9" fontId="2" fillId="2" borderId="1" xfId="20" applyFont="1" applyFill="1" applyBorder="1" applyAlignment="1">
      <alignment horizontal="center"/>
    </xf>
    <xf numFmtId="9" fontId="4" fillId="2" borderId="1" xfId="0" applyNumberFormat="1" applyFont="1" applyFill="1" applyBorder="1"/>
    <xf numFmtId="9" fontId="0" fillId="2" borderId="1" xfId="0" applyNumberFormat="1" applyFill="1" applyBorder="1" applyAlignment="1">
      <alignment horizontal="center"/>
    </xf>
    <xf numFmtId="0" fontId="6" fillId="2" borderId="0" xfId="0" applyFont="1" applyFill="1" applyAlignment="1">
      <alignment horizontal="left"/>
    </xf>
    <xf numFmtId="9" fontId="4" fillId="3" borderId="1" xfId="0" applyNumberFormat="1" applyFont="1" applyFill="1" applyBorder="1" applyAlignment="1">
      <alignment horizontal="center"/>
    </xf>
    <xf numFmtId="0" fontId="9" fillId="2" borderId="0" xfId="0" applyFont="1" applyFill="1"/>
    <xf numFmtId="0" fontId="3" fillId="0" borderId="0" xfId="0" applyFont="1" applyFill="1" applyAlignment="1" applyProtection="1">
      <alignment horizontal="justify" vertical="center"/>
    </xf>
    <xf numFmtId="0" fontId="3" fillId="0" borderId="0" xfId="0" applyFont="1" applyAlignment="1" applyProtection="1">
      <alignment horizontal="justify" vertical="center"/>
    </xf>
    <xf numFmtId="0" fontId="3" fillId="0" borderId="0"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0" xfId="0" applyFont="1" applyFill="1" applyAlignment="1" applyProtection="1">
      <alignment horizontal="center" vertical="center" wrapText="1"/>
    </xf>
    <xf numFmtId="0" fontId="3" fillId="0" borderId="0" xfId="0" applyFont="1" applyFill="1" applyBorder="1" applyAlignment="1" applyProtection="1">
      <alignment horizontal="justify"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15" fillId="0" borderId="0" xfId="0" applyFont="1" applyFill="1" applyBorder="1" applyAlignment="1">
      <alignment horizontal="center" wrapText="1" readingOrder="1"/>
    </xf>
    <xf numFmtId="0" fontId="14" fillId="0" borderId="0" xfId="0" applyFont="1" applyFill="1" applyBorder="1" applyAlignment="1">
      <alignment horizontal="center" wrapText="1" readingOrder="1"/>
    </xf>
    <xf numFmtId="0" fontId="16" fillId="0" borderId="0" xfId="0" applyFont="1" applyFill="1" applyBorder="1" applyAlignment="1">
      <alignment horizontal="center" wrapText="1" readingOrder="1"/>
    </xf>
    <xf numFmtId="0" fontId="7" fillId="0" borderId="0" xfId="0" applyFont="1" applyAlignment="1" applyProtection="1">
      <alignment horizontal="justify" vertical="center"/>
    </xf>
    <xf numFmtId="0" fontId="4" fillId="0" borderId="0" xfId="0" applyFont="1" applyFill="1" applyBorder="1" applyAlignment="1" applyProtection="1">
      <alignment horizontal="center" vertical="center" wrapText="1"/>
    </xf>
    <xf numFmtId="0" fontId="4" fillId="0" borderId="0" xfId="0" applyFont="1" applyAlignment="1" applyProtection="1">
      <alignment horizontal="center" vertical="center"/>
    </xf>
    <xf numFmtId="0" fontId="4" fillId="3" borderId="6" xfId="0" applyFont="1" applyFill="1" applyBorder="1" applyAlignment="1" applyProtection="1">
      <alignment vertical="center" wrapText="1"/>
    </xf>
    <xf numFmtId="9" fontId="4" fillId="10" borderId="1" xfId="20" applyFont="1" applyFill="1" applyBorder="1" applyAlignment="1" applyProtection="1">
      <alignment horizontal="center" vertical="center" wrapText="1"/>
    </xf>
    <xf numFmtId="0" fontId="7" fillId="0" borderId="0" xfId="0" applyFont="1" applyFill="1"/>
    <xf numFmtId="0" fontId="7" fillId="0" borderId="0" xfId="0" applyFont="1" applyFill="1" applyAlignment="1" applyProtection="1">
      <alignment horizontal="justify" vertical="center" wrapText="1"/>
    </xf>
    <xf numFmtId="1" fontId="3" fillId="0" borderId="0" xfId="20" applyNumberFormat="1" applyFont="1" applyFill="1" applyAlignment="1" applyProtection="1">
      <alignment horizontal="center" vertical="center" wrapText="1"/>
    </xf>
    <xf numFmtId="0" fontId="4" fillId="3" borderId="0" xfId="0" applyFont="1" applyFill="1" applyBorder="1" applyAlignment="1" applyProtection="1">
      <alignment vertical="center" wrapText="1"/>
    </xf>
    <xf numFmtId="1" fontId="2" fillId="0" borderId="7" xfId="20" applyNumberFormat="1" applyFont="1" applyFill="1" applyBorder="1" applyAlignment="1" applyProtection="1">
      <alignment horizontal="center" vertical="center" wrapText="1"/>
    </xf>
    <xf numFmtId="0" fontId="2" fillId="0" borderId="1" xfId="19" applyFont="1" applyFill="1" applyBorder="1" applyAlignment="1">
      <alignment horizontal="justify" vertical="center" wrapText="1"/>
    </xf>
    <xf numFmtId="0" fontId="4" fillId="0" borderId="6" xfId="0" applyFont="1" applyFill="1" applyBorder="1" applyAlignment="1" applyProtection="1">
      <alignment horizontal="center" vertical="center" wrapText="1"/>
    </xf>
    <xf numFmtId="14" fontId="4" fillId="0" borderId="9" xfId="0" applyNumberFormat="1" applyFont="1" applyFill="1" applyBorder="1" applyAlignment="1" applyProtection="1">
      <alignment horizontal="center" vertical="center" wrapText="1"/>
    </xf>
    <xf numFmtId="0" fontId="2" fillId="0" borderId="1" xfId="10" applyFont="1" applyFill="1" applyBorder="1" applyAlignment="1">
      <alignment horizontal="center" vertical="center" wrapText="1"/>
    </xf>
    <xf numFmtId="0" fontId="2" fillId="10" borderId="1" xfId="0" applyFont="1" applyFill="1" applyBorder="1" applyAlignment="1" applyProtection="1">
      <alignment horizontal="center" vertical="center" wrapText="1"/>
    </xf>
    <xf numFmtId="0" fontId="2" fillId="10" borderId="1" xfId="0" applyFont="1" applyFill="1" applyBorder="1" applyAlignment="1" applyProtection="1">
      <alignment horizontal="justify" vertical="center" wrapText="1"/>
    </xf>
    <xf numFmtId="0" fontId="2" fillId="10" borderId="1" xfId="0" applyFont="1" applyFill="1" applyBorder="1" applyAlignment="1">
      <alignment horizontal="justify" vertical="center" wrapText="1"/>
    </xf>
    <xf numFmtId="0" fontId="2" fillId="0" borderId="1" xfId="28" applyFont="1" applyFill="1" applyBorder="1" applyAlignment="1" applyProtection="1">
      <alignment horizontal="center" vertical="center" wrapText="1"/>
      <protection locked="0"/>
    </xf>
    <xf numFmtId="9" fontId="2" fillId="0" borderId="7" xfId="20" applyFont="1" applyFill="1" applyBorder="1" applyAlignment="1" applyProtection="1">
      <alignment horizontal="center" vertical="center" wrapText="1"/>
    </xf>
    <xf numFmtId="3" fontId="2" fillId="0" borderId="7" xfId="20" applyNumberFormat="1" applyFont="1" applyFill="1" applyBorder="1" applyAlignment="1" applyProtection="1">
      <alignment horizontal="center" vertical="center" textRotation="90" wrapText="1"/>
    </xf>
    <xf numFmtId="0" fontId="2" fillId="0" borderId="1" xfId="0" applyFont="1" applyFill="1" applyBorder="1" applyAlignment="1" applyProtection="1">
      <alignment horizontal="center" vertical="center" wrapText="1"/>
    </xf>
    <xf numFmtId="9" fontId="2" fillId="10" borderId="1" xfId="0" applyNumberFormat="1" applyFont="1" applyFill="1" applyBorder="1" applyAlignment="1" applyProtection="1">
      <alignment horizontal="center" vertical="center" wrapText="1"/>
    </xf>
    <xf numFmtId="9" fontId="2" fillId="0" borderId="0" xfId="20" applyFont="1" applyFill="1" applyAlignment="1">
      <alignment vertical="center"/>
    </xf>
    <xf numFmtId="0" fontId="4" fillId="10"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9"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pplyProtection="1">
      <alignment horizontal="center" vertical="center" wrapText="1"/>
      <protection locked="0"/>
    </xf>
    <xf numFmtId="9" fontId="2" fillId="0" borderId="7" xfId="21" applyNumberFormat="1" applyFont="1" applyFill="1" applyBorder="1" applyAlignment="1" applyProtection="1">
      <alignment horizontal="center" vertical="center" wrapText="1"/>
    </xf>
    <xf numFmtId="1" fontId="2" fillId="0" borderId="7" xfId="21" applyNumberFormat="1" applyFont="1" applyFill="1" applyBorder="1" applyAlignment="1" applyProtection="1">
      <alignment horizontal="center" vertical="center" wrapText="1"/>
    </xf>
    <xf numFmtId="9" fontId="2" fillId="0" borderId="0" xfId="27" applyFont="1" applyFill="1"/>
    <xf numFmtId="9" fontId="2" fillId="17" borderId="0" xfId="0" applyNumberFormat="1" applyFont="1" applyFill="1"/>
    <xf numFmtId="9" fontId="23" fillId="0" borderId="0" xfId="21" applyFont="1" applyFill="1" applyAlignment="1">
      <alignment vertical="center"/>
    </xf>
    <xf numFmtId="0" fontId="2" fillId="0" borderId="1" xfId="0" applyFont="1" applyFill="1" applyBorder="1" applyAlignment="1" applyProtection="1">
      <alignment horizontal="justify" vertical="center" wrapText="1"/>
    </xf>
    <xf numFmtId="14" fontId="2" fillId="0" borderId="1" xfId="0" applyNumberFormat="1" applyFont="1" applyFill="1" applyBorder="1" applyAlignment="1" applyProtection="1">
      <alignment horizontal="center" vertical="center" wrapText="1"/>
    </xf>
    <xf numFmtId="9" fontId="24" fillId="0" borderId="7" xfId="21" applyFont="1" applyFill="1" applyBorder="1" applyAlignment="1" applyProtection="1">
      <alignment horizontal="justify" vertical="center" wrapText="1"/>
    </xf>
    <xf numFmtId="9" fontId="2" fillId="0" borderId="7" xfId="21" applyFont="1" applyFill="1" applyBorder="1" applyAlignment="1" applyProtection="1">
      <alignment horizontal="center" vertical="center" wrapText="1"/>
    </xf>
    <xf numFmtId="9" fontId="2" fillId="0" borderId="1" xfId="0" applyNumberFormat="1" applyFont="1" applyFill="1" applyBorder="1" applyAlignment="1">
      <alignment horizontal="center" vertical="center" wrapText="1"/>
    </xf>
    <xf numFmtId="9" fontId="2" fillId="0" borderId="1" xfId="21" applyFont="1" applyFill="1" applyBorder="1" applyAlignment="1" applyProtection="1">
      <alignment horizontal="justify" vertical="center" wrapText="1"/>
    </xf>
    <xf numFmtId="0" fontId="2" fillId="0" borderId="9" xfId="0" applyFont="1" applyFill="1" applyBorder="1" applyAlignment="1" applyProtection="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justify" vertical="center" wrapText="1"/>
    </xf>
    <xf numFmtId="14" fontId="2" fillId="0" borderId="9" xfId="0" applyNumberFormat="1" applyFont="1" applyFill="1" applyBorder="1" applyAlignment="1" applyProtection="1">
      <alignment horizontal="center" vertical="center" wrapText="1"/>
    </xf>
    <xf numFmtId="0" fontId="2" fillId="0" borderId="9" xfId="28" applyNumberFormat="1" applyFont="1" applyFill="1" applyBorder="1" applyAlignment="1" applyProtection="1">
      <alignment horizontal="justify" vertical="center" wrapText="1"/>
      <protection locked="0"/>
    </xf>
    <xf numFmtId="9" fontId="2" fillId="0" borderId="9" xfId="0" applyNumberFormat="1" applyFont="1" applyFill="1" applyBorder="1" applyAlignment="1">
      <alignment horizontal="center" vertical="center" wrapText="1"/>
    </xf>
    <xf numFmtId="0" fontId="4" fillId="0" borderId="0" xfId="10" applyFont="1" applyAlignment="1" applyProtection="1">
      <alignment horizontal="center" vertical="center"/>
    </xf>
    <xf numFmtId="0" fontId="4" fillId="0" borderId="1" xfId="0" applyFont="1" applyFill="1" applyBorder="1" applyAlignment="1" applyProtection="1">
      <alignment horizontal="center" vertical="center" wrapText="1"/>
    </xf>
    <xf numFmtId="9" fontId="2" fillId="0" borderId="15" xfId="20" applyFont="1" applyFill="1" applyBorder="1" applyAlignment="1" applyProtection="1">
      <alignment horizontal="center" vertical="center" wrapText="1"/>
    </xf>
    <xf numFmtId="0" fontId="2" fillId="0" borderId="15" xfId="20" applyNumberFormat="1" applyFont="1" applyFill="1" applyBorder="1" applyAlignment="1" applyProtection="1">
      <alignment horizontal="center" vertical="center" wrapText="1"/>
    </xf>
    <xf numFmtId="9" fontId="2" fillId="0" borderId="7" xfId="0" applyNumberFormat="1" applyFont="1" applyFill="1" applyBorder="1" applyAlignment="1" applyProtection="1">
      <alignment horizontal="center" vertical="center" wrapText="1"/>
    </xf>
    <xf numFmtId="0" fontId="28" fillId="0" borderId="0" xfId="0" applyFont="1" applyAlignment="1" applyProtection="1">
      <alignment horizontal="center" vertical="center"/>
    </xf>
    <xf numFmtId="1" fontId="2" fillId="0" borderId="9" xfId="27" applyNumberFormat="1" applyFont="1" applyFill="1" applyBorder="1" applyAlignment="1" applyProtection="1">
      <alignment horizontal="center" vertical="center" wrapText="1"/>
    </xf>
    <xf numFmtId="9" fontId="2" fillId="0" borderId="0" xfId="20" applyFont="1" applyFill="1"/>
    <xf numFmtId="1" fontId="2" fillId="0" borderId="9" xfId="29" applyNumberFormat="1" applyFont="1" applyFill="1" applyBorder="1" applyAlignment="1" applyProtection="1">
      <alignment horizontal="center" vertical="center" wrapText="1"/>
    </xf>
    <xf numFmtId="9" fontId="2" fillId="0" borderId="7" xfId="29" applyFont="1" applyFill="1" applyBorder="1" applyAlignment="1" applyProtection="1">
      <alignment horizontal="center" vertical="center" wrapText="1"/>
    </xf>
    <xf numFmtId="9" fontId="2" fillId="0" borderId="7" xfId="27" applyFont="1" applyFill="1" applyBorder="1" applyAlignment="1" applyProtection="1">
      <alignment horizontal="center" vertical="center" wrapText="1"/>
    </xf>
    <xf numFmtId="9" fontId="23" fillId="0" borderId="0" xfId="0" applyNumberFormat="1" applyFont="1" applyFill="1" applyAlignment="1">
      <alignment horizontal="center" vertical="center" wrapText="1"/>
    </xf>
    <xf numFmtId="0" fontId="2" fillId="0" borderId="7" xfId="21" applyNumberFormat="1"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14" fontId="2" fillId="0" borderId="1" xfId="0" applyNumberFormat="1" applyFont="1" applyFill="1" applyBorder="1" applyAlignment="1">
      <alignment horizontal="justify" vertical="center" wrapText="1"/>
    </xf>
    <xf numFmtId="9" fontId="2" fillId="0" borderId="1" xfId="20" applyFont="1" applyFill="1" applyBorder="1" applyAlignment="1" applyProtection="1">
      <alignment horizontal="center" vertical="center" wrapText="1"/>
    </xf>
    <xf numFmtId="0" fontId="2" fillId="0" borderId="1" xfId="20" applyNumberFormat="1" applyFont="1" applyFill="1" applyBorder="1" applyAlignment="1" applyProtection="1">
      <alignment horizontal="center" vertical="center" wrapText="1"/>
    </xf>
    <xf numFmtId="1" fontId="2" fillId="0" borderId="1" xfId="20" applyNumberFormat="1" applyFont="1" applyFill="1" applyBorder="1" applyAlignment="1" applyProtection="1">
      <alignment horizontal="center" vertical="center" wrapText="1"/>
    </xf>
    <xf numFmtId="9" fontId="23" fillId="0" borderId="0" xfId="0" applyNumberFormat="1" applyFont="1" applyFill="1" applyAlignment="1">
      <alignment horizontal="center" vertical="center"/>
    </xf>
    <xf numFmtId="0" fontId="2" fillId="0" borderId="11" xfId="0" applyFont="1" applyFill="1" applyBorder="1" applyAlignment="1" applyProtection="1">
      <alignment horizontal="center" vertical="center" wrapText="1"/>
    </xf>
    <xf numFmtId="9" fontId="2" fillId="0" borderId="1" xfId="20" applyNumberFormat="1" applyFont="1" applyFill="1" applyBorder="1" applyAlignment="1" applyProtection="1">
      <alignment horizontal="center" vertical="center" wrapText="1"/>
    </xf>
    <xf numFmtId="167" fontId="2" fillId="0" borderId="1" xfId="30" applyNumberFormat="1" applyFont="1" applyFill="1" applyBorder="1" applyAlignment="1" applyProtection="1">
      <alignment horizontal="center" vertical="center" wrapText="1"/>
    </xf>
    <xf numFmtId="9" fontId="23" fillId="0" borderId="7" xfId="0" applyNumberFormat="1" applyFont="1" applyFill="1" applyBorder="1" applyAlignment="1">
      <alignment horizontal="center" vertical="center"/>
    </xf>
    <xf numFmtId="0" fontId="2" fillId="0" borderId="19" xfId="0" applyFont="1" applyFill="1" applyBorder="1" applyAlignment="1">
      <alignment horizontal="justify" vertical="center" wrapText="1"/>
    </xf>
    <xf numFmtId="1" fontId="2" fillId="0" borderId="19" xfId="20" applyNumberFormat="1" applyFont="1" applyFill="1" applyBorder="1" applyAlignment="1" applyProtection="1">
      <alignment horizontal="center" vertical="center" wrapText="1"/>
    </xf>
    <xf numFmtId="9" fontId="2" fillId="0" borderId="19" xfId="20" applyNumberFormat="1" applyFont="1" applyFill="1" applyBorder="1" applyAlignment="1" applyProtection="1">
      <alignment horizontal="center" vertical="center" wrapText="1"/>
    </xf>
    <xf numFmtId="0" fontId="2" fillId="0" borderId="19" xfId="20" applyNumberFormat="1" applyFont="1" applyFill="1" applyBorder="1" applyAlignment="1" applyProtection="1">
      <alignment horizontal="center" vertical="center" wrapText="1"/>
    </xf>
    <xf numFmtId="167" fontId="2" fillId="0" borderId="19" xfId="30" applyNumberFormat="1"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0" borderId="9" xfId="0" applyFont="1" applyFill="1" applyBorder="1" applyAlignment="1" applyProtection="1">
      <alignment horizontal="justify" vertical="center" wrapText="1"/>
    </xf>
    <xf numFmtId="9" fontId="2" fillId="0" borderId="9" xfId="0" applyNumberFormat="1" applyFont="1" applyFill="1" applyBorder="1" applyAlignment="1" applyProtection="1">
      <alignment horizontal="center" vertical="center" wrapText="1"/>
    </xf>
    <xf numFmtId="9" fontId="2" fillId="0" borderId="0" xfId="0" applyNumberFormat="1" applyFont="1" applyFill="1"/>
    <xf numFmtId="9" fontId="23" fillId="0" borderId="15" xfId="20" applyFont="1" applyFill="1" applyBorder="1" applyAlignment="1" applyProtection="1">
      <alignment horizontal="center" vertical="center" wrapText="1"/>
    </xf>
    <xf numFmtId="14" fontId="2" fillId="0" borderId="1" xfId="31" applyNumberFormat="1" applyFont="1" applyFill="1" applyBorder="1" applyAlignment="1" applyProtection="1">
      <alignment horizontal="center" vertical="center" wrapText="1"/>
    </xf>
    <xf numFmtId="9" fontId="2" fillId="0" borderId="1" xfId="31" applyFont="1" applyFill="1" applyBorder="1" applyAlignment="1" applyProtection="1">
      <alignment horizontal="center" vertical="center" wrapText="1"/>
    </xf>
    <xf numFmtId="9" fontId="2" fillId="0" borderId="1" xfId="31" applyFont="1" applyFill="1" applyBorder="1" applyAlignment="1" applyProtection="1">
      <alignment horizontal="justify" vertical="center" wrapText="1"/>
    </xf>
    <xf numFmtId="9" fontId="2" fillId="0" borderId="1" xfId="21" applyFont="1" applyFill="1" applyBorder="1" applyAlignment="1" applyProtection="1">
      <alignment horizontal="center" vertical="center" wrapText="1"/>
    </xf>
    <xf numFmtId="0" fontId="2" fillId="10" borderId="1" xfId="0" applyFont="1" applyFill="1" applyBorder="1" applyAlignment="1" applyProtection="1">
      <alignment horizontal="center" vertical="center" wrapText="1"/>
      <protection locked="0"/>
    </xf>
    <xf numFmtId="167" fontId="2" fillId="0" borderId="1" xfId="30" applyNumberFormat="1" applyFont="1" applyFill="1" applyBorder="1" applyAlignment="1">
      <alignment horizontal="center" vertical="center" wrapText="1"/>
    </xf>
    <xf numFmtId="0" fontId="2" fillId="0" borderId="0" xfId="0" applyFont="1" applyFill="1" applyAlignment="1" applyProtection="1">
      <alignment horizontal="justify" vertical="center"/>
    </xf>
    <xf numFmtId="9" fontId="2" fillId="0" borderId="1" xfId="31" applyFont="1" applyFill="1" applyBorder="1" applyAlignment="1">
      <alignment horizontal="center" vertical="center" wrapText="1"/>
    </xf>
    <xf numFmtId="0" fontId="2" fillId="0" borderId="1" xfId="0" applyFont="1" applyFill="1" applyBorder="1" applyAlignment="1" applyProtection="1">
      <alignment horizontal="center" vertical="center"/>
    </xf>
    <xf numFmtId="9" fontId="2" fillId="0" borderId="1" xfId="21" applyFont="1" applyFill="1" applyBorder="1" applyAlignment="1">
      <alignment horizontal="center" vertical="center" wrapText="1"/>
    </xf>
    <xf numFmtId="9" fontId="2" fillId="0" borderId="7" xfId="20" applyNumberFormat="1" applyFont="1" applyFill="1" applyBorder="1" applyAlignment="1" applyProtection="1">
      <alignment horizontal="center" vertical="center" wrapText="1"/>
    </xf>
    <xf numFmtId="9" fontId="28" fillId="0" borderId="0" xfId="0" applyNumberFormat="1" applyFont="1" applyFill="1" applyAlignment="1">
      <alignment horizontal="center" vertical="center" wrapText="1"/>
    </xf>
    <xf numFmtId="0" fontId="2" fillId="0" borderId="0" xfId="0" applyFont="1" applyFill="1"/>
    <xf numFmtId="0" fontId="2" fillId="0" borderId="0" xfId="0" applyFont="1" applyFill="1" applyAlignment="1" applyProtection="1">
      <alignment horizontal="justify" vertical="center" wrapText="1"/>
    </xf>
    <xf numFmtId="10" fontId="2" fillId="0" borderId="7" xfId="20" applyNumberFormat="1" applyFont="1" applyFill="1" applyBorder="1" applyAlignment="1" applyProtection="1">
      <alignment horizontal="center" vertical="center" wrapText="1"/>
    </xf>
    <xf numFmtId="14" fontId="2" fillId="0" borderId="9" xfId="31" applyNumberFormat="1" applyFont="1" applyFill="1" applyBorder="1" applyAlignment="1" applyProtection="1">
      <alignment horizontal="center" vertical="center" wrapText="1"/>
    </xf>
    <xf numFmtId="9" fontId="2" fillId="0" borderId="1" xfId="0" applyNumberFormat="1" applyFont="1" applyFill="1" applyBorder="1" applyAlignment="1" applyProtection="1">
      <alignment horizontal="justify" vertical="center" wrapText="1"/>
    </xf>
    <xf numFmtId="167" fontId="2" fillId="0" borderId="1" xfId="30" applyNumberFormat="1" applyFont="1" applyFill="1" applyBorder="1" applyAlignment="1" applyProtection="1">
      <alignment vertical="center" wrapText="1"/>
    </xf>
    <xf numFmtId="9" fontId="2" fillId="0" borderId="1" xfId="21" applyNumberFormat="1"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7" fillId="0" borderId="0" xfId="0" applyFont="1" applyFill="1" applyAlignment="1">
      <alignment horizontal="center" vertical="center"/>
    </xf>
    <xf numFmtId="0" fontId="2" fillId="0" borderId="5" xfId="0" applyFont="1" applyFill="1" applyBorder="1" applyAlignment="1" applyProtection="1">
      <alignment horizontal="center" vertical="center" wrapText="1"/>
    </xf>
    <xf numFmtId="9" fontId="2" fillId="0" borderId="9" xfId="20" applyFont="1" applyFill="1" applyBorder="1" applyAlignment="1" applyProtection="1">
      <alignment horizontal="center" vertical="center" wrapText="1"/>
    </xf>
    <xf numFmtId="1" fontId="2" fillId="0" borderId="15" xfId="20" applyNumberFormat="1" applyFont="1" applyFill="1" applyBorder="1" applyAlignment="1" applyProtection="1">
      <alignment horizontal="center" vertical="center" wrapText="1"/>
    </xf>
    <xf numFmtId="0" fontId="2" fillId="0" borderId="9" xfId="21" applyNumberFormat="1" applyFont="1" applyFill="1" applyBorder="1" applyAlignment="1" applyProtection="1">
      <alignment horizontal="center" vertical="center" wrapText="1"/>
    </xf>
    <xf numFmtId="0" fontId="2" fillId="0" borderId="1" xfId="0" applyNumberFormat="1" applyFont="1" applyFill="1" applyBorder="1" applyAlignment="1">
      <alignment horizontal="justify" vertical="center" wrapText="1"/>
    </xf>
    <xf numFmtId="9" fontId="2" fillId="0" borderId="9" xfId="27" applyFont="1" applyFill="1" applyBorder="1" applyAlignment="1" applyProtection="1">
      <alignment horizontal="center" vertical="center" wrapText="1"/>
    </xf>
    <xf numFmtId="9" fontId="2" fillId="0" borderId="1" xfId="27" applyFont="1" applyFill="1" applyBorder="1" applyAlignment="1" applyProtection="1">
      <alignment horizontal="center" vertical="center" wrapText="1"/>
    </xf>
    <xf numFmtId="1" fontId="2" fillId="0" borderId="7" xfId="27" applyNumberFormat="1"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14" fontId="2" fillId="0" borderId="19" xfId="0" applyNumberFormat="1" applyFont="1" applyFill="1" applyBorder="1" applyAlignment="1">
      <alignment horizontal="justify" vertical="center" wrapText="1"/>
    </xf>
    <xf numFmtId="1" fontId="2" fillId="0" borderId="19" xfId="21" applyNumberFormat="1" applyFont="1" applyFill="1" applyBorder="1" applyAlignment="1" applyProtection="1">
      <alignment horizontal="center" vertical="center" wrapText="1"/>
    </xf>
    <xf numFmtId="9" fontId="2" fillId="0" borderId="19" xfId="20" applyFont="1" applyFill="1" applyBorder="1" applyAlignment="1" applyProtection="1">
      <alignment horizontal="center" vertical="center" wrapText="1"/>
    </xf>
    <xf numFmtId="9" fontId="2" fillId="0" borderId="9" xfId="27" applyNumberFormat="1" applyFont="1" applyFill="1" applyBorder="1" applyAlignment="1" applyProtection="1">
      <alignment horizontal="center" vertical="center" wrapText="1"/>
    </xf>
    <xf numFmtId="14" fontId="2" fillId="0" borderId="9" xfId="21" applyNumberFormat="1" applyFont="1" applyFill="1" applyBorder="1" applyAlignment="1" applyProtection="1">
      <alignment horizontal="center" vertical="center" wrapText="1"/>
    </xf>
    <xf numFmtId="1" fontId="4" fillId="0" borderId="0" xfId="0" applyNumberFormat="1" applyFont="1" applyFill="1" applyAlignment="1">
      <alignment horizontal="center" vertical="center" wrapText="1"/>
    </xf>
    <xf numFmtId="9" fontId="2" fillId="3" borderId="1" xfId="0" applyNumberFormat="1" applyFont="1" applyFill="1" applyBorder="1" applyAlignment="1" applyProtection="1">
      <alignment horizontal="center" vertical="center" wrapText="1"/>
    </xf>
    <xf numFmtId="9" fontId="2" fillId="10" borderId="9" xfId="0" applyNumberFormat="1" applyFont="1" applyFill="1" applyBorder="1" applyAlignment="1" applyProtection="1">
      <alignment horizontal="center" vertical="center" wrapText="1"/>
    </xf>
    <xf numFmtId="9" fontId="2" fillId="10" borderId="9" xfId="0" applyNumberFormat="1" applyFont="1" applyFill="1" applyBorder="1" applyAlignment="1" applyProtection="1">
      <alignment horizontal="justify" vertical="center" wrapText="1"/>
    </xf>
    <xf numFmtId="9" fontId="2" fillId="0" borderId="9" xfId="0" applyNumberFormat="1" applyFont="1" applyFill="1" applyBorder="1" applyAlignment="1" applyProtection="1">
      <alignment horizontal="justify" vertical="center" wrapText="1"/>
    </xf>
    <xf numFmtId="1" fontId="2" fillId="0" borderId="7" xfId="31" applyNumberFormat="1" applyFont="1" applyFill="1" applyBorder="1" applyAlignment="1" applyProtection="1">
      <alignment horizontal="center" vertical="center" wrapText="1"/>
    </xf>
    <xf numFmtId="14" fontId="2" fillId="10" borderId="1" xfId="21" applyNumberFormat="1" applyFont="1" applyFill="1" applyBorder="1" applyAlignment="1" applyProtection="1">
      <alignment horizontal="center" vertical="center" wrapText="1"/>
    </xf>
    <xf numFmtId="1" fontId="2" fillId="0" borderId="1" xfId="21" applyNumberFormat="1" applyFont="1" applyFill="1" applyBorder="1" applyAlignment="1" applyProtection="1">
      <alignment horizontal="center" vertical="center" textRotation="90" wrapText="1"/>
    </xf>
    <xf numFmtId="0" fontId="2" fillId="10" borderId="1" xfId="28" applyNumberFormat="1" applyFont="1" applyFill="1" applyBorder="1" applyAlignment="1" applyProtection="1">
      <alignment horizontal="justify" vertical="center" wrapText="1"/>
      <protection locked="0"/>
    </xf>
    <xf numFmtId="168" fontId="2" fillId="0" borderId="1" xfId="33" applyNumberFormat="1" applyFont="1" applyFill="1" applyBorder="1" applyAlignment="1" applyProtection="1">
      <alignment horizontal="left" vertical="center" textRotation="90" wrapText="1"/>
    </xf>
    <xf numFmtId="168" fontId="2" fillId="0" borderId="1" xfId="33" applyNumberFormat="1" applyFont="1" applyFill="1" applyBorder="1" applyAlignment="1" applyProtection="1">
      <alignment horizontal="center" vertical="center" textRotation="90" wrapText="1"/>
    </xf>
    <xf numFmtId="169" fontId="2" fillId="0" borderId="1" xfId="21" applyNumberFormat="1" applyFont="1" applyFill="1" applyBorder="1" applyAlignment="1" applyProtection="1">
      <alignment horizontal="center" vertical="center" textRotation="90" wrapText="1"/>
    </xf>
    <xf numFmtId="14" fontId="2" fillId="0" borderId="9" xfId="2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justify" vertical="center" wrapText="1"/>
    </xf>
    <xf numFmtId="49" fontId="2" fillId="0" borderId="1" xfId="0" applyNumberFormat="1" applyFont="1" applyFill="1" applyBorder="1" applyAlignment="1" applyProtection="1">
      <alignment horizontal="left" vertical="center" wrapText="1"/>
    </xf>
    <xf numFmtId="49" fontId="2" fillId="0" borderId="1" xfId="28" applyNumberFormat="1" applyFont="1" applyFill="1" applyBorder="1" applyAlignment="1" applyProtection="1">
      <alignment horizontal="center" vertical="center" wrapText="1"/>
      <protection locked="0"/>
    </xf>
    <xf numFmtId="1" fontId="2" fillId="0" borderId="7" xfId="20" applyNumberFormat="1"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xf>
    <xf numFmtId="0" fontId="2" fillId="10" borderId="1" xfId="0" applyNumberFormat="1" applyFont="1" applyFill="1" applyBorder="1" applyAlignment="1" applyProtection="1">
      <alignment horizontal="justify" vertical="center" wrapText="1"/>
    </xf>
    <xf numFmtId="49" fontId="2" fillId="10" borderId="1" xfId="0" applyNumberFormat="1" applyFont="1" applyFill="1" applyBorder="1" applyAlignment="1" applyProtection="1">
      <alignment horizontal="justify" vertical="center" wrapText="1"/>
    </xf>
    <xf numFmtId="49" fontId="2" fillId="10" borderId="1" xfId="28" applyNumberFormat="1" applyFont="1" applyFill="1" applyBorder="1" applyAlignment="1" applyProtection="1">
      <alignment horizontal="justify" vertical="center" wrapText="1"/>
      <protection locked="0"/>
    </xf>
    <xf numFmtId="0" fontId="2" fillId="0" borderId="7" xfId="20" applyNumberFormat="1" applyFont="1" applyFill="1" applyBorder="1" applyAlignment="1" applyProtection="1">
      <alignment horizontal="center" vertical="center" wrapText="1"/>
    </xf>
    <xf numFmtId="170" fontId="2" fillId="0" borderId="7" xfId="30" applyNumberFormat="1" applyFont="1" applyFill="1" applyBorder="1" applyAlignment="1" applyProtection="1">
      <alignment horizontal="center" vertical="center" wrapText="1"/>
      <protection locked="0"/>
    </xf>
    <xf numFmtId="171" fontId="2" fillId="0" borderId="7" xfId="30" applyNumberFormat="1" applyFont="1" applyFill="1" applyBorder="1" applyAlignment="1" applyProtection="1">
      <alignment horizontal="center" vertical="center" wrapText="1"/>
      <protection locked="0"/>
    </xf>
    <xf numFmtId="49" fontId="2" fillId="0" borderId="1" xfId="28" applyNumberFormat="1" applyFont="1" applyFill="1" applyBorder="1" applyAlignment="1" applyProtection="1">
      <alignment horizontal="justify" vertical="center" wrapText="1"/>
      <protection locked="0"/>
    </xf>
    <xf numFmtId="5" fontId="2" fillId="0" borderId="7" xfId="33" applyNumberFormat="1" applyFont="1" applyFill="1" applyBorder="1" applyAlignment="1" applyProtection="1">
      <alignment horizontal="center" vertical="center" wrapText="1"/>
    </xf>
    <xf numFmtId="0" fontId="2" fillId="0" borderId="1" xfId="0" applyFont="1" applyFill="1" applyBorder="1" applyAlignment="1" applyProtection="1">
      <alignment horizontal="justify" vertical="center"/>
    </xf>
    <xf numFmtId="0" fontId="2" fillId="10" borderId="1" xfId="0" applyFont="1" applyFill="1" applyBorder="1" applyAlignment="1" applyProtection="1">
      <alignment horizontal="left" vertical="center" wrapText="1"/>
    </xf>
    <xf numFmtId="0" fontId="2" fillId="10" borderId="1" xfId="0" applyFont="1" applyFill="1" applyBorder="1" applyAlignment="1" applyProtection="1">
      <alignment horizontal="left" vertical="center"/>
    </xf>
    <xf numFmtId="0" fontId="2" fillId="0" borderId="1" xfId="0" applyFont="1" applyFill="1" applyBorder="1" applyAlignment="1" applyProtection="1">
      <alignment horizontal="left" vertical="center" wrapText="1"/>
    </xf>
    <xf numFmtId="14" fontId="2" fillId="0" borderId="9" xfId="20" applyNumberFormat="1" applyFont="1" applyFill="1" applyBorder="1" applyAlignment="1" applyProtection="1">
      <alignment horizontal="left" vertical="center" wrapText="1"/>
    </xf>
    <xf numFmtId="0" fontId="2" fillId="10" borderId="1" xfId="0" applyNumberFormat="1" applyFont="1" applyFill="1" applyBorder="1" applyAlignment="1" applyProtection="1">
      <alignment horizontal="left" vertical="center" wrapText="1"/>
    </xf>
    <xf numFmtId="49" fontId="2" fillId="10" borderId="1" xfId="0" applyNumberFormat="1" applyFont="1" applyFill="1" applyBorder="1" applyAlignment="1" applyProtection="1">
      <alignment horizontal="left" vertical="center" wrapText="1"/>
    </xf>
    <xf numFmtId="0" fontId="2" fillId="0" borderId="6" xfId="0" applyFont="1" applyFill="1" applyBorder="1" applyAlignment="1" applyProtection="1">
      <alignment horizontal="center" vertical="center" wrapText="1"/>
    </xf>
    <xf numFmtId="9" fontId="2" fillId="0" borderId="9" xfId="21" applyFont="1" applyFill="1" applyBorder="1" applyAlignment="1" applyProtection="1">
      <alignment horizontal="center" vertical="center" wrapText="1"/>
    </xf>
    <xf numFmtId="166" fontId="2" fillId="0" borderId="1" xfId="10" applyNumberFormat="1" applyFont="1" applyFill="1" applyBorder="1" applyAlignment="1">
      <alignment horizontal="center" vertical="center" textRotation="90" shrinkToFit="1"/>
    </xf>
    <xf numFmtId="1" fontId="2" fillId="0" borderId="1" xfId="21" applyNumberFormat="1" applyFont="1" applyFill="1" applyBorder="1" applyAlignment="1" applyProtection="1">
      <alignment horizontal="center" vertical="center" shrinkToFit="1"/>
    </xf>
    <xf numFmtId="9" fontId="2" fillId="0" borderId="15" xfId="21" applyFont="1" applyFill="1" applyBorder="1" applyAlignment="1" applyProtection="1">
      <alignment horizontal="center" vertical="center" wrapText="1"/>
    </xf>
    <xf numFmtId="9" fontId="2" fillId="0" borderId="0" xfId="20" applyFont="1" applyFill="1" applyAlignment="1">
      <alignment horizontal="center" vertical="center" wrapText="1"/>
    </xf>
    <xf numFmtId="0" fontId="2" fillId="10" borderId="1" xfId="0" applyNumberFormat="1" applyFont="1" applyFill="1" applyBorder="1" applyAlignment="1" applyProtection="1">
      <alignment horizontal="center" vertical="center" wrapText="1"/>
    </xf>
    <xf numFmtId="9" fontId="2" fillId="0" borderId="1" xfId="20" applyFont="1" applyBorder="1" applyAlignment="1" applyProtection="1">
      <alignment horizontal="center" vertical="center"/>
    </xf>
    <xf numFmtId="9" fontId="23" fillId="0" borderId="1" xfId="35" applyNumberFormat="1" applyFont="1" applyFill="1" applyBorder="1" applyAlignment="1">
      <alignment horizontal="center" vertical="center" wrapText="1"/>
    </xf>
    <xf numFmtId="0" fontId="23" fillId="0" borderId="1" xfId="35" applyFont="1" applyBorder="1" applyAlignment="1" applyProtection="1">
      <alignment horizontal="center" vertical="center"/>
    </xf>
    <xf numFmtId="0" fontId="2" fillId="0" borderId="1" xfId="35" applyFont="1" applyBorder="1" applyAlignment="1" applyProtection="1">
      <alignment horizontal="center" vertical="center"/>
    </xf>
    <xf numFmtId="9" fontId="24" fillId="10" borderId="1" xfId="0" applyNumberFormat="1" applyFont="1" applyFill="1" applyBorder="1" applyAlignment="1">
      <alignment horizontal="center" vertical="center" wrapText="1"/>
    </xf>
    <xf numFmtId="9" fontId="2" fillId="11" borderId="1" xfId="20" applyFont="1" applyFill="1" applyBorder="1" applyAlignment="1" applyProtection="1">
      <alignment horizontal="center" vertical="center" wrapText="1"/>
    </xf>
    <xf numFmtId="9" fontId="2" fillId="9" borderId="1" xfId="20" applyFont="1" applyFill="1" applyBorder="1" applyAlignment="1" applyProtection="1">
      <alignment horizontal="center" vertical="center" wrapText="1"/>
    </xf>
    <xf numFmtId="9" fontId="24" fillId="11" borderId="1" xfId="20" applyFont="1" applyFill="1" applyBorder="1" applyAlignment="1" applyProtection="1">
      <alignment horizontal="center" vertical="center" wrapText="1"/>
    </xf>
    <xf numFmtId="9" fontId="24" fillId="9" borderId="1" xfId="20" applyFont="1" applyFill="1" applyBorder="1" applyAlignment="1" applyProtection="1">
      <alignment horizontal="center" vertical="center" wrapText="1"/>
    </xf>
    <xf numFmtId="9" fontId="2" fillId="10" borderId="1" xfId="20" applyFont="1" applyFill="1" applyBorder="1" applyAlignment="1" applyProtection="1">
      <alignment horizontal="center" vertical="center" wrapText="1"/>
    </xf>
    <xf numFmtId="9" fontId="2" fillId="11" borderId="9" xfId="31" applyFont="1" applyFill="1" applyBorder="1" applyAlignment="1" applyProtection="1">
      <alignment horizontal="center" vertical="center" wrapText="1"/>
    </xf>
    <xf numFmtId="9" fontId="2" fillId="9" borderId="9" xfId="2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xf>
    <xf numFmtId="0" fontId="2" fillId="16" borderId="1" xfId="0" applyFont="1" applyFill="1" applyBorder="1" applyAlignment="1" applyProtection="1">
      <alignment horizontal="center" vertical="center" wrapText="1"/>
    </xf>
    <xf numFmtId="0" fontId="2" fillId="18" borderId="1" xfId="0" applyFont="1" applyFill="1" applyBorder="1" applyAlignment="1" applyProtection="1">
      <alignment horizontal="center" vertical="center"/>
    </xf>
    <xf numFmtId="1" fontId="2" fillId="9" borderId="1" xfId="0" applyNumberFormat="1" applyFont="1" applyFill="1" applyBorder="1" applyAlignment="1" applyProtection="1">
      <alignment horizontal="center" vertical="center" wrapText="1"/>
    </xf>
    <xf numFmtId="1" fontId="2" fillId="11" borderId="9" xfId="31" applyNumberFormat="1" applyFont="1" applyFill="1" applyBorder="1" applyAlignment="1" applyProtection="1">
      <alignment horizontal="center" vertical="center" wrapText="1"/>
    </xf>
    <xf numFmtId="168" fontId="2" fillId="9" borderId="7" xfId="30" applyNumberFormat="1" applyFont="1" applyFill="1" applyBorder="1" applyAlignment="1" applyProtection="1">
      <alignment horizontal="center" vertical="center" wrapText="1"/>
    </xf>
    <xf numFmtId="9" fontId="2" fillId="15" borderId="1" xfId="34" applyNumberFormat="1" applyFont="1" applyFill="1" applyBorder="1" applyAlignment="1" applyProtection="1">
      <alignment horizontal="center" vertical="center" wrapText="1"/>
    </xf>
    <xf numFmtId="0" fontId="2" fillId="16" borderId="1" xfId="34" applyFont="1" applyFill="1" applyBorder="1" applyAlignment="1" applyProtection="1">
      <alignment horizontal="center" vertical="center" wrapText="1"/>
    </xf>
    <xf numFmtId="0" fontId="2" fillId="18" borderId="1" xfId="34" applyFont="1" applyFill="1" applyBorder="1" applyAlignment="1" applyProtection="1">
      <alignment horizontal="center" vertical="center" wrapText="1"/>
    </xf>
    <xf numFmtId="9" fontId="2" fillId="9" borderId="7" xfId="20" applyFont="1" applyFill="1" applyBorder="1" applyAlignment="1" applyProtection="1">
      <alignment horizontal="center" vertical="center" wrapText="1"/>
    </xf>
    <xf numFmtId="9" fontId="2" fillId="9" borderId="1" xfId="31" applyFont="1" applyFill="1" applyBorder="1" applyAlignment="1" applyProtection="1">
      <alignment horizontal="center" vertical="center" wrapText="1"/>
    </xf>
    <xf numFmtId="9" fontId="4" fillId="10" borderId="9" xfId="20" applyFont="1" applyFill="1" applyBorder="1" applyAlignment="1" applyProtection="1">
      <alignment horizontal="center" vertical="center" wrapText="1"/>
    </xf>
    <xf numFmtId="168" fontId="2" fillId="0" borderId="7" xfId="30" applyNumberFormat="1" applyFont="1" applyFill="1" applyBorder="1" applyAlignment="1" applyProtection="1">
      <alignment horizontal="center" vertical="center" textRotation="90" wrapText="1"/>
    </xf>
    <xf numFmtId="0" fontId="2" fillId="0" borderId="0" xfId="0" applyFont="1" applyAlignment="1" applyProtection="1">
      <alignment horizontal="justify" vertical="center"/>
    </xf>
    <xf numFmtId="0" fontId="2" fillId="0" borderId="0" xfId="0" applyFont="1" applyAlignment="1" applyProtection="1">
      <alignment horizontal="center" vertical="center" wrapText="1"/>
    </xf>
    <xf numFmtId="0" fontId="2" fillId="0" borderId="1" xfId="28" applyFont="1" applyFill="1" applyBorder="1" applyAlignment="1" applyProtection="1">
      <alignment horizontal="center" vertical="center" wrapText="1"/>
    </xf>
    <xf numFmtId="9" fontId="2" fillId="0" borderId="1" xfId="28" applyNumberFormat="1" applyFont="1" applyFill="1" applyBorder="1" applyAlignment="1" applyProtection="1">
      <alignment horizontal="center" vertical="center" wrapText="1"/>
    </xf>
    <xf numFmtId="14" fontId="2" fillId="0" borderId="9" xfId="0" applyNumberFormat="1" applyFont="1" applyFill="1" applyBorder="1" applyAlignment="1">
      <alignment horizontal="justify" vertical="center" wrapText="1"/>
    </xf>
    <xf numFmtId="0" fontId="2" fillId="0" borderId="1" xfId="32" applyFont="1" applyFill="1" applyBorder="1" applyAlignment="1" applyProtection="1">
      <alignment horizontal="justify" vertical="center" wrapText="1"/>
    </xf>
    <xf numFmtId="1" fontId="2" fillId="0" borderId="9" xfId="20" applyNumberFormat="1" applyFont="1" applyFill="1" applyBorder="1" applyAlignment="1" applyProtection="1">
      <alignment horizontal="center" vertical="center" wrapText="1"/>
    </xf>
    <xf numFmtId="0" fontId="24" fillId="0" borderId="9" xfId="0" applyFont="1" applyFill="1" applyBorder="1" applyAlignment="1">
      <alignment horizontal="justify" vertical="center" wrapText="1"/>
    </xf>
    <xf numFmtId="2" fontId="2" fillId="0" borderId="7" xfId="21" applyNumberFormat="1" applyFont="1" applyFill="1" applyBorder="1" applyAlignment="1" applyProtection="1">
      <alignment horizontal="center" vertical="center" wrapText="1"/>
      <protection locked="0"/>
    </xf>
    <xf numFmtId="0" fontId="2" fillId="10" borderId="1" xfId="18" applyFont="1" applyFill="1" applyBorder="1" applyAlignment="1">
      <alignment horizontal="center" vertical="center" wrapText="1"/>
    </xf>
    <xf numFmtId="1" fontId="2" fillId="0" borderId="1" xfId="18" applyNumberFormat="1" applyFont="1" applyFill="1" applyBorder="1" applyAlignment="1">
      <alignment horizontal="center" vertical="center" wrapText="1"/>
    </xf>
    <xf numFmtId="1" fontId="2" fillId="10" borderId="1" xfId="18" applyNumberFormat="1" applyFont="1" applyFill="1" applyBorder="1" applyAlignment="1">
      <alignment horizontal="center" vertical="center" wrapText="1"/>
    </xf>
    <xf numFmtId="0" fontId="2" fillId="17" borderId="1" xfId="28" applyFont="1" applyFill="1" applyBorder="1" applyAlignment="1" applyProtection="1">
      <alignment horizontal="center" vertical="center" wrapText="1"/>
      <protection locked="0"/>
    </xf>
    <xf numFmtId="9" fontId="2" fillId="17" borderId="1" xfId="0" applyNumberFormat="1" applyFont="1" applyFill="1" applyBorder="1" applyAlignment="1" applyProtection="1">
      <alignment horizontal="center" vertical="center" wrapText="1"/>
    </xf>
    <xf numFmtId="0" fontId="2" fillId="17" borderId="1" xfId="0" applyFont="1" applyFill="1" applyBorder="1" applyAlignment="1" applyProtection="1">
      <alignment horizontal="center" vertical="center" wrapText="1"/>
    </xf>
    <xf numFmtId="9" fontId="2" fillId="0" borderId="1" xfId="32" applyNumberFormat="1" applyFont="1" applyFill="1" applyBorder="1" applyAlignment="1" applyProtection="1">
      <alignment horizontal="center" vertical="center" wrapText="1"/>
    </xf>
    <xf numFmtId="0" fontId="2" fillId="0" borderId="1" xfId="32" applyFont="1" applyFill="1" applyBorder="1" applyAlignment="1" applyProtection="1">
      <alignment horizontal="center" vertical="center" wrapText="1"/>
    </xf>
    <xf numFmtId="9" fontId="2" fillId="0" borderId="17" xfId="32" applyNumberFormat="1" applyFont="1" applyFill="1" applyBorder="1" applyAlignment="1" applyProtection="1">
      <alignment horizontal="center" vertical="center" wrapText="1"/>
    </xf>
    <xf numFmtId="0" fontId="2" fillId="0" borderId="17" xfId="32"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justify" vertical="center"/>
    </xf>
    <xf numFmtId="9" fontId="2" fillId="0" borderId="1" xfId="0" applyNumberFormat="1" applyFont="1" applyFill="1" applyBorder="1" applyAlignment="1" applyProtection="1">
      <alignment horizontal="center" vertical="center"/>
    </xf>
    <xf numFmtId="0" fontId="23" fillId="10" borderId="1" xfId="18" applyFont="1" applyFill="1" applyBorder="1" applyAlignment="1">
      <alignment horizontal="center" vertical="center" wrapText="1"/>
    </xf>
    <xf numFmtId="9" fontId="2" fillId="0" borderId="1" xfId="0" applyNumberFormat="1" applyFont="1" applyFill="1" applyBorder="1" applyAlignment="1">
      <alignment horizontal="center" vertical="center"/>
    </xf>
    <xf numFmtId="9" fontId="28" fillId="10" borderId="1" xfId="18" applyNumberFormat="1" applyFont="1" applyFill="1" applyBorder="1" applyAlignment="1">
      <alignment horizontal="center" vertical="center" wrapText="1"/>
    </xf>
    <xf numFmtId="0" fontId="4" fillId="10" borderId="1" xfId="18" applyFont="1" applyFill="1" applyBorder="1" applyAlignment="1">
      <alignment horizontal="center" vertical="center" wrapText="1"/>
    </xf>
    <xf numFmtId="9" fontId="2" fillId="0" borderId="1" xfId="20" applyFont="1" applyFill="1" applyBorder="1" applyAlignment="1">
      <alignment horizontal="center" vertical="center"/>
    </xf>
    <xf numFmtId="0" fontId="2" fillId="0" borderId="1" xfId="10" applyFont="1" applyFill="1" applyBorder="1" applyAlignment="1" applyProtection="1">
      <alignment horizontal="center" vertical="center" wrapText="1"/>
    </xf>
    <xf numFmtId="0" fontId="2" fillId="0" borderId="1" xfId="10" applyFont="1" applyFill="1" applyBorder="1" applyAlignment="1" applyProtection="1">
      <alignment horizontal="left" vertical="center" wrapText="1"/>
    </xf>
    <xf numFmtId="0" fontId="2" fillId="0" borderId="1" xfId="10" applyFont="1" applyFill="1" applyBorder="1" applyAlignment="1" applyProtection="1">
      <alignment horizontal="justify" vertical="center" wrapText="1"/>
    </xf>
    <xf numFmtId="14" fontId="2" fillId="0" borderId="1" xfId="10" applyNumberFormat="1" applyFont="1" applyFill="1" applyBorder="1" applyAlignment="1" applyProtection="1">
      <alignment horizontal="center" vertical="center" wrapText="1"/>
    </xf>
    <xf numFmtId="0" fontId="2" fillId="0" borderId="1" xfId="10" applyFont="1" applyFill="1" applyBorder="1" applyAlignment="1">
      <alignment horizontal="justify" vertical="center" wrapText="1"/>
    </xf>
    <xf numFmtId="166" fontId="2" fillId="0" borderId="1" xfId="10" applyNumberFormat="1" applyFont="1" applyFill="1" applyBorder="1" applyAlignment="1">
      <alignment horizontal="center" vertical="center" textRotation="90" wrapText="1"/>
    </xf>
    <xf numFmtId="0" fontId="2" fillId="0" borderId="1" xfId="10" applyFont="1" applyFill="1" applyBorder="1" applyAlignment="1" applyProtection="1">
      <alignment horizontal="center" vertical="center"/>
    </xf>
    <xf numFmtId="0" fontId="2" fillId="0" borderId="1" xfId="10" applyFont="1" applyFill="1" applyBorder="1" applyAlignment="1" applyProtection="1">
      <alignment horizontal="justify" vertical="center"/>
    </xf>
    <xf numFmtId="14" fontId="2" fillId="0" borderId="1" xfId="10" applyNumberFormat="1" applyFont="1" applyFill="1" applyBorder="1" applyAlignment="1" applyProtection="1">
      <alignment horizontal="center" vertical="center"/>
    </xf>
    <xf numFmtId="0" fontId="2" fillId="0" borderId="1" xfId="10" applyFont="1" applyFill="1" applyBorder="1" applyAlignment="1">
      <alignment horizontal="center" vertical="center"/>
    </xf>
    <xf numFmtId="0" fontId="2" fillId="0" borderId="1" xfId="10" applyFont="1" applyFill="1" applyBorder="1" applyAlignment="1">
      <alignment horizontal="justify" vertical="center"/>
    </xf>
    <xf numFmtId="9" fontId="2" fillId="0" borderId="1" xfId="21" applyFont="1" applyFill="1" applyBorder="1" applyAlignment="1" applyProtection="1">
      <alignment horizontal="center" vertical="center"/>
    </xf>
    <xf numFmtId="9" fontId="2" fillId="0" borderId="1" xfId="10" applyNumberFormat="1" applyFont="1" applyFill="1" applyBorder="1" applyAlignment="1">
      <alignment horizontal="center" vertical="center"/>
    </xf>
    <xf numFmtId="164" fontId="2" fillId="0" borderId="1" xfId="9" applyFont="1" applyFill="1" applyBorder="1" applyAlignment="1" applyProtection="1">
      <alignment horizontal="center" vertical="center"/>
    </xf>
    <xf numFmtId="9" fontId="2" fillId="0" borderId="1" xfId="10" applyNumberFormat="1" applyFont="1" applyFill="1" applyBorder="1" applyAlignment="1">
      <alignment horizontal="center" vertical="center" wrapText="1"/>
    </xf>
    <xf numFmtId="9" fontId="2" fillId="0" borderId="1" xfId="10" applyNumberFormat="1" applyFont="1" applyFill="1" applyBorder="1" applyAlignment="1">
      <alignment horizontal="center" vertical="center" shrinkToFit="1"/>
    </xf>
    <xf numFmtId="9" fontId="2" fillId="0" borderId="1" xfId="23" applyFont="1" applyFill="1" applyBorder="1" applyAlignment="1" applyProtection="1">
      <alignment horizontal="center" vertical="center" wrapText="1"/>
    </xf>
    <xf numFmtId="14" fontId="2" fillId="0" borderId="1" xfId="21" applyNumberFormat="1" applyFont="1" applyFill="1" applyBorder="1" applyAlignment="1" applyProtection="1">
      <alignment horizontal="center" vertical="center" wrapText="1"/>
    </xf>
    <xf numFmtId="168" fontId="2" fillId="10" borderId="1" xfId="33" applyNumberFormat="1" applyFont="1" applyFill="1" applyBorder="1" applyAlignment="1">
      <alignment horizontal="center" vertical="center" textRotation="90" wrapText="1"/>
    </xf>
    <xf numFmtId="168" fontId="2" fillId="0" borderId="1" xfId="33" applyNumberFormat="1" applyFont="1" applyFill="1" applyBorder="1" applyAlignment="1">
      <alignment horizontal="center" vertical="center" textRotation="90" wrapText="1"/>
    </xf>
    <xf numFmtId="168" fontId="24" fillId="10" borderId="1" xfId="33" applyNumberFormat="1" applyFont="1" applyFill="1" applyBorder="1" applyAlignment="1">
      <alignment horizontal="center" vertical="center" textRotation="90" wrapText="1"/>
    </xf>
    <xf numFmtId="0" fontId="8" fillId="0" borderId="0" xfId="0" applyFont="1" applyAlignment="1" applyProtection="1">
      <alignment horizontal="justify" vertical="center"/>
    </xf>
    <xf numFmtId="0" fontId="32" fillId="3" borderId="6" xfId="0" applyFont="1" applyFill="1" applyBorder="1" applyAlignment="1" applyProtection="1">
      <alignment vertical="center" wrapText="1"/>
    </xf>
    <xf numFmtId="0" fontId="8" fillId="10" borderId="9" xfId="0" applyFont="1" applyFill="1" applyBorder="1" applyAlignment="1" applyProtection="1">
      <alignment horizontal="justify" vertical="center" wrapText="1"/>
    </xf>
    <xf numFmtId="0" fontId="8" fillId="10" borderId="9" xfId="0" applyNumberFormat="1" applyFont="1" applyFill="1" applyBorder="1" applyAlignment="1" applyProtection="1">
      <alignment horizontal="justify" vertical="center" wrapText="1"/>
    </xf>
    <xf numFmtId="0" fontId="8" fillId="0" borderId="9" xfId="0" applyFont="1" applyFill="1" applyBorder="1" applyAlignment="1" applyProtection="1">
      <alignment horizontal="justify" vertical="center" wrapText="1"/>
    </xf>
    <xf numFmtId="49" fontId="8" fillId="0" borderId="1" xfId="20" applyNumberFormat="1" applyFont="1" applyFill="1" applyBorder="1" applyAlignment="1" applyProtection="1">
      <alignment horizontal="justify" vertical="top" wrapText="1"/>
    </xf>
    <xf numFmtId="49" fontId="32" fillId="0" borderId="1" xfId="20" applyNumberFormat="1" applyFont="1" applyFill="1" applyBorder="1" applyAlignment="1" applyProtection="1">
      <alignment horizontal="justify" vertical="center" wrapText="1"/>
    </xf>
    <xf numFmtId="10" fontId="32" fillId="0" borderId="1" xfId="20" applyNumberFormat="1" applyFont="1" applyFill="1" applyBorder="1" applyAlignment="1" applyProtection="1">
      <alignment horizontal="justify" vertical="top" wrapText="1"/>
    </xf>
    <xf numFmtId="49" fontId="32" fillId="0" borderId="1" xfId="20" applyNumberFormat="1" applyFont="1" applyFill="1" applyBorder="1" applyAlignment="1" applyProtection="1">
      <alignment horizontal="justify" vertical="top" wrapText="1"/>
    </xf>
    <xf numFmtId="0" fontId="8" fillId="0" borderId="1" xfId="20" applyNumberFormat="1" applyFont="1" applyFill="1" applyBorder="1" applyAlignment="1" applyProtection="1">
      <alignment horizontal="justify" vertical="top" wrapText="1"/>
    </xf>
    <xf numFmtId="10" fontId="8" fillId="0" borderId="17" xfId="20" applyNumberFormat="1" applyFont="1" applyFill="1" applyBorder="1" applyAlignment="1" applyProtection="1">
      <alignment horizontal="justify" vertical="center" wrapText="1"/>
    </xf>
    <xf numFmtId="49" fontId="8" fillId="0" borderId="17" xfId="20" applyNumberFormat="1" applyFont="1" applyFill="1" applyBorder="1" applyAlignment="1" applyProtection="1">
      <alignment horizontal="justify" vertical="center" wrapText="1"/>
    </xf>
    <xf numFmtId="49" fontId="8" fillId="0" borderId="20" xfId="20" applyNumberFormat="1" applyFont="1" applyFill="1" applyBorder="1" applyAlignment="1" applyProtection="1">
      <alignment horizontal="justify" vertical="center" wrapText="1"/>
    </xf>
    <xf numFmtId="49" fontId="8" fillId="0" borderId="1" xfId="21" applyNumberFormat="1" applyFont="1" applyFill="1" applyBorder="1" applyAlignment="1" applyProtection="1">
      <alignment horizontal="left" vertical="center" wrapText="1" indent="1"/>
    </xf>
    <xf numFmtId="49" fontId="8" fillId="10" borderId="1" xfId="21" applyNumberFormat="1" applyFont="1" applyFill="1" applyBorder="1" applyAlignment="1" applyProtection="1">
      <alignment horizontal="left" vertical="center" wrapText="1" indent="1"/>
    </xf>
    <xf numFmtId="49" fontId="36" fillId="0" borderId="1" xfId="21" applyNumberFormat="1" applyFont="1" applyFill="1" applyBorder="1" applyAlignment="1" applyProtection="1">
      <alignment horizontal="left" vertical="center" wrapText="1" indent="1"/>
    </xf>
    <xf numFmtId="9" fontId="8" fillId="0" borderId="9" xfId="21" applyFont="1" applyFill="1" applyBorder="1" applyAlignment="1" applyProtection="1">
      <alignment horizontal="left" vertical="center" wrapText="1" indent="1"/>
    </xf>
    <xf numFmtId="0" fontId="8" fillId="0" borderId="1" xfId="0" applyFont="1" applyFill="1" applyBorder="1" applyAlignment="1" applyProtection="1">
      <alignment horizontal="justify" vertical="center" wrapText="1"/>
      <protection locked="0"/>
    </xf>
    <xf numFmtId="9" fontId="8" fillId="0" borderId="9" xfId="20" applyFont="1" applyFill="1" applyBorder="1" applyAlignment="1" applyProtection="1">
      <alignment horizontal="justify" vertical="center" wrapText="1"/>
    </xf>
    <xf numFmtId="10" fontId="8" fillId="0" borderId="1" xfId="20" applyNumberFormat="1" applyFont="1" applyFill="1" applyBorder="1" applyAlignment="1" applyProtection="1">
      <alignment horizontal="justify" vertical="center" wrapText="1"/>
    </xf>
    <xf numFmtId="10" fontId="32" fillId="0" borderId="1" xfId="20" applyNumberFormat="1" applyFont="1" applyFill="1" applyBorder="1" applyAlignment="1" applyProtection="1">
      <alignment horizontal="justify" vertical="center" wrapText="1"/>
    </xf>
    <xf numFmtId="49" fontId="8" fillId="0" borderId="1" xfId="21" applyNumberFormat="1" applyFont="1" applyFill="1" applyBorder="1" applyAlignment="1" applyProtection="1">
      <alignment horizontal="justify" vertical="center" wrapText="1"/>
    </xf>
    <xf numFmtId="49" fontId="8" fillId="0" borderId="1" xfId="20" applyNumberFormat="1" applyFont="1" applyFill="1" applyBorder="1" applyAlignment="1" applyProtection="1">
      <alignment horizontal="justify" vertical="center" wrapText="1"/>
    </xf>
    <xf numFmtId="0" fontId="32" fillId="0" borderId="1" xfId="21" applyNumberFormat="1" applyFont="1" applyFill="1" applyBorder="1" applyAlignment="1" applyProtection="1">
      <alignment horizontal="justify" vertical="center" wrapText="1"/>
    </xf>
    <xf numFmtId="9" fontId="36" fillId="0" borderId="1" xfId="31" applyFont="1" applyFill="1" applyBorder="1" applyAlignment="1" applyProtection="1">
      <alignment horizontal="justify" vertical="center" wrapText="1"/>
    </xf>
    <xf numFmtId="0" fontId="36" fillId="0" borderId="1" xfId="31" applyNumberFormat="1" applyFont="1" applyFill="1" applyBorder="1" applyAlignment="1" applyProtection="1">
      <alignment horizontal="justify" vertical="center" wrapText="1"/>
    </xf>
    <xf numFmtId="0" fontId="8" fillId="0" borderId="1" xfId="0" applyFont="1" applyFill="1" applyBorder="1" applyAlignment="1">
      <alignment horizontal="justify" vertical="top" wrapText="1"/>
    </xf>
    <xf numFmtId="0" fontId="8" fillId="0" borderId="1" xfId="0" applyFont="1" applyBorder="1" applyAlignment="1">
      <alignment horizontal="justify" vertical="top" wrapText="1"/>
    </xf>
    <xf numFmtId="0" fontId="32" fillId="0" borderId="1" xfId="0" applyFont="1" applyBorder="1" applyAlignment="1">
      <alignment horizontal="justify" vertical="top" wrapText="1"/>
    </xf>
    <xf numFmtId="0" fontId="8" fillId="10" borderId="1" xfId="0" applyFont="1" applyFill="1" applyBorder="1" applyAlignment="1">
      <alignment horizontal="justify" vertical="center" wrapText="1"/>
    </xf>
    <xf numFmtId="0" fontId="8" fillId="0" borderId="0" xfId="0" applyFont="1" applyFill="1" applyAlignment="1" applyProtection="1">
      <alignment horizontal="center" vertical="center"/>
    </xf>
    <xf numFmtId="0" fontId="8" fillId="0" borderId="0" xfId="0" applyFont="1" applyFill="1" applyAlignment="1" applyProtection="1">
      <alignment horizontal="justify" vertical="center"/>
    </xf>
    <xf numFmtId="1" fontId="2" fillId="10" borderId="7" xfId="21" applyNumberFormat="1" applyFont="1" applyFill="1" applyBorder="1" applyAlignment="1" applyProtection="1">
      <alignment horizontal="center" vertical="center" wrapText="1"/>
    </xf>
    <xf numFmtId="49" fontId="3" fillId="0" borderId="17" xfId="20" applyNumberFormat="1" applyFont="1" applyFill="1" applyBorder="1" applyAlignment="1" applyProtection="1">
      <alignment horizontal="justify" vertical="top" wrapText="1"/>
    </xf>
    <xf numFmtId="10" fontId="3" fillId="0" borderId="17" xfId="21" applyNumberFormat="1" applyFont="1" applyFill="1" applyBorder="1" applyAlignment="1" applyProtection="1">
      <alignment horizontal="justify" vertical="center" wrapText="1"/>
    </xf>
    <xf numFmtId="49" fontId="3" fillId="0" borderId="17" xfId="21" applyNumberFormat="1" applyFont="1" applyFill="1" applyBorder="1" applyAlignment="1" applyProtection="1">
      <alignment horizontal="justify" vertical="center" wrapText="1"/>
    </xf>
    <xf numFmtId="1" fontId="8" fillId="0" borderId="1" xfId="21" applyNumberFormat="1" applyFont="1" applyFill="1" applyBorder="1" applyAlignment="1" applyProtection="1">
      <alignment horizontal="center" vertical="center" wrapText="1"/>
    </xf>
    <xf numFmtId="9" fontId="8" fillId="0" borderId="1" xfId="21" applyFont="1" applyFill="1" applyBorder="1" applyAlignment="1" applyProtection="1">
      <alignment horizontal="center" vertical="center" wrapText="1"/>
    </xf>
    <xf numFmtId="1" fontId="8" fillId="0" borderId="1" xfId="20" applyNumberFormat="1" applyFont="1" applyFill="1" applyBorder="1" applyAlignment="1" applyProtection="1">
      <alignment horizontal="center" vertical="center" wrapText="1"/>
    </xf>
    <xf numFmtId="9" fontId="2" fillId="10" borderId="1" xfId="21" applyFont="1" applyFill="1" applyBorder="1" applyAlignment="1" applyProtection="1">
      <alignment horizontal="center" vertical="center" wrapText="1"/>
    </xf>
    <xf numFmtId="0" fontId="8" fillId="0" borderId="1" xfId="20" applyNumberFormat="1" applyFont="1" applyFill="1" applyBorder="1" applyAlignment="1" applyProtection="1">
      <alignment horizontal="justify" vertical="center" wrapText="1"/>
    </xf>
    <xf numFmtId="9" fontId="26" fillId="12" borderId="1" xfId="20" applyFont="1" applyFill="1" applyBorder="1" applyAlignment="1" applyProtection="1">
      <alignment horizontal="center" vertical="center" wrapText="1"/>
    </xf>
    <xf numFmtId="1" fontId="26" fillId="12" borderId="1" xfId="20" applyNumberFormat="1" applyFont="1" applyFill="1" applyBorder="1" applyAlignment="1" applyProtection="1">
      <alignment horizontal="center" vertical="center" wrapText="1"/>
    </xf>
    <xf numFmtId="1" fontId="2" fillId="10" borderId="7" xfId="20" applyNumberFormat="1" applyFont="1" applyFill="1" applyBorder="1" applyAlignment="1" applyProtection="1">
      <alignment horizontal="center" vertical="center" wrapText="1"/>
    </xf>
    <xf numFmtId="0" fontId="2" fillId="19" borderId="1" xfId="0" applyFont="1" applyFill="1" applyBorder="1" applyAlignment="1" applyProtection="1">
      <alignment horizontal="center" vertical="center" wrapText="1"/>
      <protection locked="0"/>
    </xf>
    <xf numFmtId="0" fontId="2" fillId="19" borderId="1" xfId="28" applyFont="1" applyFill="1" applyBorder="1" applyAlignment="1" applyProtection="1">
      <alignment horizontal="center" vertical="center" wrapText="1"/>
      <protection locked="0"/>
    </xf>
    <xf numFmtId="0" fontId="2" fillId="19" borderId="19" xfId="28" applyFont="1" applyFill="1" applyBorder="1" applyAlignment="1" applyProtection="1">
      <alignment horizontal="center" vertical="center" wrapText="1"/>
      <protection locked="0"/>
    </xf>
    <xf numFmtId="1" fontId="2" fillId="10" borderId="1" xfId="21" applyNumberFormat="1" applyFont="1" applyFill="1" applyBorder="1" applyAlignment="1" applyProtection="1">
      <alignment horizontal="center" vertical="center" shrinkToFit="1"/>
    </xf>
    <xf numFmtId="9" fontId="2" fillId="12" borderId="1" xfId="21" applyFont="1" applyFill="1" applyBorder="1" applyAlignment="1" applyProtection="1">
      <alignment horizontal="center" vertical="center" wrapText="1"/>
    </xf>
    <xf numFmtId="9" fontId="2" fillId="12" borderId="1" xfId="20" applyFont="1" applyFill="1" applyBorder="1" applyAlignment="1" applyProtection="1">
      <alignment horizontal="center" vertical="center" wrapText="1"/>
    </xf>
    <xf numFmtId="9" fontId="2" fillId="12" borderId="1" xfId="21" applyNumberFormat="1" applyFont="1" applyFill="1" applyBorder="1" applyAlignment="1" applyProtection="1">
      <alignment horizontal="center" vertical="center" wrapText="1"/>
    </xf>
    <xf numFmtId="9" fontId="2" fillId="12" borderId="19" xfId="20" applyFont="1" applyFill="1" applyBorder="1" applyAlignment="1" applyProtection="1">
      <alignment horizontal="center" vertical="center" wrapText="1"/>
    </xf>
    <xf numFmtId="9" fontId="2" fillId="12" borderId="1" xfId="21" applyNumberFormat="1" applyFont="1" applyFill="1" applyBorder="1" applyAlignment="1" applyProtection="1">
      <alignment horizontal="center" vertical="center" shrinkToFit="1"/>
    </xf>
    <xf numFmtId="9" fontId="2" fillId="12" borderId="1" xfId="20" applyNumberFormat="1" applyFont="1" applyFill="1" applyBorder="1" applyAlignment="1" applyProtection="1">
      <alignment horizontal="center" vertical="center" wrapText="1"/>
    </xf>
    <xf numFmtId="9" fontId="2" fillId="12" borderId="9" xfId="20" applyFont="1" applyFill="1" applyBorder="1" applyAlignment="1" applyProtection="1">
      <alignment horizontal="center" vertical="center" wrapText="1"/>
    </xf>
    <xf numFmtId="9" fontId="2" fillId="12" borderId="9" xfId="20" applyNumberFormat="1" applyFont="1" applyFill="1" applyBorder="1" applyAlignment="1" applyProtection="1">
      <alignment horizontal="center" vertical="center" wrapText="1"/>
    </xf>
    <xf numFmtId="170" fontId="2" fillId="12" borderId="1" xfId="21" applyNumberFormat="1" applyFont="1" applyFill="1" applyBorder="1" applyAlignment="1" applyProtection="1">
      <alignment horizontal="center" vertical="center" wrapText="1"/>
    </xf>
    <xf numFmtId="9" fontId="2" fillId="12" borderId="7" xfId="20" applyNumberFormat="1" applyFont="1" applyFill="1" applyBorder="1" applyAlignment="1" applyProtection="1">
      <alignment horizontal="center" vertical="center" wrapText="1"/>
    </xf>
    <xf numFmtId="9" fontId="2" fillId="13" borderId="7" xfId="21" applyFont="1" applyFill="1" applyBorder="1" applyAlignment="1" applyProtection="1">
      <alignment horizontal="center" vertical="center" wrapText="1"/>
    </xf>
    <xf numFmtId="9" fontId="28" fillId="13" borderId="7" xfId="20" applyFont="1" applyFill="1" applyBorder="1" applyAlignment="1" applyProtection="1">
      <alignment horizontal="center" vertical="center" wrapText="1"/>
    </xf>
    <xf numFmtId="9" fontId="23" fillId="13" borderId="7" xfId="20" applyFont="1" applyFill="1" applyBorder="1" applyAlignment="1" applyProtection="1">
      <alignment horizontal="center" vertical="center" wrapText="1"/>
    </xf>
    <xf numFmtId="9" fontId="2" fillId="13" borderId="7" xfId="20" applyFont="1" applyFill="1" applyBorder="1" applyAlignment="1" applyProtection="1">
      <alignment horizontal="center" vertical="center" wrapText="1"/>
    </xf>
    <xf numFmtId="9" fontId="23" fillId="13" borderId="1" xfId="20" applyFont="1" applyFill="1" applyBorder="1" applyAlignment="1" applyProtection="1">
      <alignment horizontal="center" vertical="center" wrapText="1"/>
    </xf>
    <xf numFmtId="9" fontId="2" fillId="13" borderId="1" xfId="21" applyFont="1" applyFill="1" applyBorder="1" applyAlignment="1" applyProtection="1">
      <alignment horizontal="center" vertical="center" wrapText="1"/>
    </xf>
    <xf numFmtId="9" fontId="23" fillId="13" borderId="19" xfId="20" applyFont="1" applyFill="1" applyBorder="1" applyAlignment="1" applyProtection="1">
      <alignment horizontal="center" vertical="center" wrapText="1"/>
    </xf>
    <xf numFmtId="1" fontId="2" fillId="13" borderId="1" xfId="20" applyNumberFormat="1" applyFont="1" applyFill="1" applyBorder="1" applyAlignment="1" applyProtection="1">
      <alignment horizontal="center" vertical="center" wrapText="1"/>
    </xf>
    <xf numFmtId="9" fontId="2" fillId="13" borderId="1" xfId="21" applyFont="1" applyFill="1" applyBorder="1" applyAlignment="1" applyProtection="1">
      <alignment horizontal="center" vertical="center" shrinkToFit="1"/>
    </xf>
    <xf numFmtId="165" fontId="2" fillId="13" borderId="1" xfId="21" applyNumberFormat="1" applyFont="1" applyFill="1" applyBorder="1" applyAlignment="1" applyProtection="1">
      <alignment horizontal="center" vertical="center" shrinkToFit="1"/>
    </xf>
    <xf numFmtId="166" fontId="2" fillId="13" borderId="1" xfId="10" applyNumberFormat="1" applyFont="1" applyFill="1" applyBorder="1" applyAlignment="1">
      <alignment horizontal="center" vertical="center" textRotation="90" shrinkToFit="1"/>
    </xf>
    <xf numFmtId="9" fontId="2" fillId="13" borderId="7" xfId="21" applyNumberFormat="1" applyFont="1" applyFill="1" applyBorder="1" applyAlignment="1" applyProtection="1">
      <alignment horizontal="center" vertical="center" wrapText="1"/>
    </xf>
    <xf numFmtId="9" fontId="2" fillId="13" borderId="7" xfId="20" applyNumberFormat="1" applyFont="1" applyFill="1" applyBorder="1" applyAlignment="1" applyProtection="1">
      <alignment horizontal="center" vertical="center" wrapText="1"/>
    </xf>
    <xf numFmtId="170" fontId="2" fillId="13" borderId="1" xfId="20" applyNumberFormat="1" applyFont="1" applyFill="1" applyBorder="1" applyAlignment="1" applyProtection="1">
      <alignment horizontal="center" vertical="center" wrapText="1"/>
    </xf>
    <xf numFmtId="165" fontId="2" fillId="13" borderId="7" xfId="20" applyNumberFormat="1" applyFont="1" applyFill="1" applyBorder="1" applyAlignment="1" applyProtection="1">
      <alignment horizontal="center" vertical="center" wrapText="1"/>
    </xf>
    <xf numFmtId="165" fontId="31" fillId="13" borderId="7" xfId="20" applyNumberFormat="1" applyFont="1" applyFill="1" applyBorder="1" applyAlignment="1" applyProtection="1">
      <alignment horizontal="center" vertical="center" wrapText="1"/>
    </xf>
    <xf numFmtId="9" fontId="2" fillId="13" borderId="1" xfId="21" applyNumberFormat="1" applyFont="1" applyFill="1" applyBorder="1" applyAlignment="1" applyProtection="1">
      <alignment horizontal="center" vertical="center" wrapText="1"/>
    </xf>
    <xf numFmtId="170" fontId="2" fillId="13" borderId="7" xfId="20" applyNumberFormat="1" applyFont="1" applyFill="1" applyBorder="1" applyAlignment="1" applyProtection="1">
      <alignment horizontal="center" vertical="center" wrapText="1"/>
    </xf>
    <xf numFmtId="9" fontId="4" fillId="13" borderId="7" xfId="20" applyFont="1" applyFill="1" applyBorder="1" applyAlignment="1" applyProtection="1">
      <alignment horizontal="center" vertical="center" wrapText="1"/>
    </xf>
    <xf numFmtId="9" fontId="2" fillId="13" borderId="7" xfId="31" applyNumberFormat="1" applyFont="1" applyFill="1" applyBorder="1" applyAlignment="1" applyProtection="1">
      <alignment horizontal="center" vertical="center" wrapText="1"/>
    </xf>
    <xf numFmtId="9" fontId="2" fillId="13" borderId="7" xfId="27" applyFont="1" applyFill="1" applyBorder="1" applyAlignment="1" applyProtection="1">
      <alignment horizontal="center" vertical="center" wrapText="1"/>
    </xf>
    <xf numFmtId="9" fontId="2" fillId="13" borderId="1" xfId="20" applyFont="1" applyFill="1" applyBorder="1" applyAlignment="1" applyProtection="1">
      <alignment horizontal="center" vertical="center" wrapText="1"/>
    </xf>
    <xf numFmtId="9" fontId="2" fillId="13" borderId="19" xfId="20" applyFont="1" applyFill="1" applyBorder="1" applyAlignment="1" applyProtection="1">
      <alignment horizontal="center" vertical="center" wrapText="1"/>
    </xf>
    <xf numFmtId="9" fontId="26" fillId="13" borderId="7" xfId="21" applyFont="1" applyFill="1" applyBorder="1" applyAlignment="1" applyProtection="1">
      <alignment horizontal="center" vertical="center" wrapText="1"/>
    </xf>
    <xf numFmtId="9" fontId="26" fillId="12" borderId="1" xfId="21" applyFont="1" applyFill="1" applyBorder="1" applyAlignment="1" applyProtection="1">
      <alignment horizontal="center" vertical="center" wrapText="1"/>
    </xf>
    <xf numFmtId="1" fontId="2" fillId="13" borderId="1" xfId="21" applyNumberFormat="1" applyFont="1" applyFill="1" applyBorder="1" applyAlignment="1" applyProtection="1">
      <alignment horizontal="center" vertical="center" wrapText="1"/>
    </xf>
    <xf numFmtId="9" fontId="2" fillId="10" borderId="9" xfId="31" applyFont="1" applyFill="1" applyBorder="1" applyAlignment="1" applyProtection="1">
      <alignment horizontal="center" vertical="center" wrapText="1"/>
    </xf>
    <xf numFmtId="14" fontId="2" fillId="10" borderId="1" xfId="0" applyNumberFormat="1" applyFont="1" applyFill="1" applyBorder="1" applyAlignment="1" applyProtection="1">
      <alignment horizontal="center" vertical="center" wrapText="1"/>
    </xf>
    <xf numFmtId="0" fontId="2" fillId="10" borderId="1" xfId="0" applyFont="1" applyFill="1" applyBorder="1" applyAlignment="1">
      <alignment horizontal="center" vertical="center" wrapText="1"/>
    </xf>
    <xf numFmtId="1" fontId="2" fillId="10" borderId="1" xfId="0" applyNumberFormat="1" applyFont="1" applyFill="1" applyBorder="1" applyAlignment="1" applyProtection="1">
      <alignment horizontal="center" vertical="center" wrapText="1"/>
      <protection locked="0"/>
    </xf>
    <xf numFmtId="0" fontId="2" fillId="10" borderId="9" xfId="0" applyFont="1" applyFill="1" applyBorder="1" applyAlignment="1" applyProtection="1">
      <alignment horizontal="center" vertical="center" wrapText="1"/>
    </xf>
    <xf numFmtId="9" fontId="2" fillId="10" borderId="9" xfId="20" applyFont="1" applyFill="1" applyBorder="1" applyAlignment="1" applyProtection="1">
      <alignment horizontal="center" vertical="center" wrapText="1"/>
    </xf>
    <xf numFmtId="9" fontId="2" fillId="10" borderId="1" xfId="20" applyNumberFormat="1" applyFont="1" applyFill="1" applyBorder="1" applyAlignment="1" applyProtection="1">
      <alignment horizontal="center" vertical="center" wrapText="1"/>
    </xf>
    <xf numFmtId="9" fontId="2" fillId="10" borderId="7" xfId="20" applyFont="1" applyFill="1" applyBorder="1" applyAlignment="1" applyProtection="1">
      <alignment horizontal="center" vertical="center" wrapText="1"/>
    </xf>
    <xf numFmtId="0" fontId="36" fillId="10" borderId="1" xfId="21" applyNumberFormat="1" applyFont="1" applyFill="1" applyBorder="1" applyAlignment="1" applyProtection="1">
      <alignment horizontal="justify" vertical="center" wrapText="1"/>
    </xf>
    <xf numFmtId="49" fontId="8" fillId="10" borderId="1" xfId="21" applyNumberFormat="1" applyFont="1" applyFill="1" applyBorder="1" applyAlignment="1" applyProtection="1">
      <alignment horizontal="justify" vertical="center" wrapText="1"/>
    </xf>
    <xf numFmtId="1" fontId="8" fillId="10" borderId="7" xfId="21" applyNumberFormat="1" applyFont="1" applyFill="1" applyBorder="1" applyAlignment="1" applyProtection="1">
      <alignment horizontal="center" vertical="center" wrapText="1"/>
    </xf>
    <xf numFmtId="49" fontId="3" fillId="10" borderId="17" xfId="21" applyNumberFormat="1" applyFont="1" applyFill="1" applyBorder="1" applyAlignment="1" applyProtection="1">
      <alignment horizontal="justify" vertical="center" wrapText="1"/>
    </xf>
    <xf numFmtId="0" fontId="8" fillId="10" borderId="11" xfId="0" applyFont="1" applyFill="1" applyBorder="1" applyAlignment="1" applyProtection="1">
      <alignment horizontal="center" vertical="center" wrapText="1"/>
    </xf>
    <xf numFmtId="1" fontId="2" fillId="0" borderId="9" xfId="21" applyNumberFormat="1"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wrapText="1"/>
    </xf>
    <xf numFmtId="0" fontId="23" fillId="19" borderId="1" xfId="0" applyFont="1" applyFill="1" applyBorder="1" applyAlignment="1" applyProtection="1">
      <alignment horizontal="center" vertical="center" wrapText="1"/>
      <protection locked="0"/>
    </xf>
    <xf numFmtId="0" fontId="2" fillId="0" borderId="5" xfId="0" applyFont="1" applyBorder="1" applyAlignment="1">
      <alignment horizontal="left" vertical="center" wrapText="1"/>
    </xf>
    <xf numFmtId="0" fontId="2" fillId="0" borderId="10" xfId="0" applyFont="1" applyBorder="1" applyAlignment="1">
      <alignment horizontal="left" vertical="center" wrapText="1"/>
    </xf>
    <xf numFmtId="0" fontId="2" fillId="0" borderId="7" xfId="0" applyFont="1" applyBorder="1" applyAlignment="1">
      <alignment horizontal="left" vertical="center" wrapText="1"/>
    </xf>
    <xf numFmtId="0" fontId="4" fillId="5" borderId="11"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9" fontId="4" fillId="8" borderId="11" xfId="0" applyNumberFormat="1" applyFont="1" applyFill="1" applyBorder="1" applyAlignment="1" applyProtection="1">
      <alignment horizontal="center" vertical="center" wrapText="1"/>
    </xf>
    <xf numFmtId="9" fontId="4" fillId="8" borderId="9" xfId="0" applyNumberFormat="1" applyFont="1" applyFill="1" applyBorder="1" applyAlignment="1" applyProtection="1">
      <alignment horizontal="center" vertical="center" wrapText="1"/>
    </xf>
    <xf numFmtId="9" fontId="4" fillId="15" borderId="11" xfId="20" applyFont="1" applyFill="1" applyBorder="1" applyAlignment="1" applyProtection="1">
      <alignment horizontal="center" vertical="center" wrapText="1"/>
    </xf>
    <xf numFmtId="9" fontId="4" fillId="15" borderId="9" xfId="2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13" borderId="5" xfId="0" applyFont="1" applyFill="1" applyBorder="1" applyAlignment="1">
      <alignment horizontal="center" vertical="center" wrapText="1"/>
    </xf>
    <xf numFmtId="0" fontId="4" fillId="13" borderId="10" xfId="0" applyFont="1" applyFill="1" applyBorder="1" applyAlignment="1">
      <alignment horizontal="center" vertical="center" wrapText="1"/>
    </xf>
    <xf numFmtId="0" fontId="4" fillId="13" borderId="7" xfId="0" applyFont="1" applyFill="1" applyBorder="1" applyAlignment="1">
      <alignment horizontal="center" vertical="center" wrapText="1"/>
    </xf>
    <xf numFmtId="0" fontId="4" fillId="6" borderId="1" xfId="0" applyFont="1" applyFill="1" applyBorder="1" applyAlignment="1" applyProtection="1">
      <alignment horizontal="center" vertical="center" wrapText="1"/>
    </xf>
    <xf numFmtId="0" fontId="4" fillId="0" borderId="1" xfId="0" applyFont="1" applyBorder="1" applyAlignment="1">
      <alignment horizontal="center" vertical="center" wrapText="1"/>
    </xf>
    <xf numFmtId="9" fontId="32" fillId="6" borderId="11" xfId="20" applyFont="1" applyFill="1" applyBorder="1" applyAlignment="1" applyProtection="1">
      <alignment horizontal="center" vertical="center" wrapText="1"/>
    </xf>
    <xf numFmtId="9" fontId="32" fillId="6" borderId="12" xfId="20" applyFont="1" applyFill="1" applyBorder="1" applyAlignment="1" applyProtection="1">
      <alignment horizontal="center" vertical="center" wrapText="1"/>
    </xf>
    <xf numFmtId="9" fontId="32" fillId="6" borderId="9" xfId="2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10" borderId="5"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10" borderId="7" xfId="0" applyFont="1" applyFill="1" applyBorder="1" applyAlignment="1">
      <alignment horizontal="center" vertical="center" wrapText="1"/>
    </xf>
    <xf numFmtId="9" fontId="4" fillId="6" borderId="11" xfId="20" applyFont="1" applyFill="1" applyBorder="1" applyAlignment="1" applyProtection="1">
      <alignment horizontal="center" vertical="center" wrapText="1"/>
    </xf>
    <xf numFmtId="9" fontId="4" fillId="6" borderId="12" xfId="20" applyFont="1" applyFill="1" applyBorder="1" applyAlignment="1" applyProtection="1">
      <alignment horizontal="center" vertical="center" wrapText="1"/>
    </xf>
    <xf numFmtId="9" fontId="4" fillId="6" borderId="9" xfId="20" applyFont="1" applyFill="1" applyBorder="1" applyAlignment="1" applyProtection="1">
      <alignment horizontal="center" vertical="center" wrapText="1"/>
    </xf>
    <xf numFmtId="9" fontId="4" fillId="10" borderId="11" xfId="20" applyFont="1" applyFill="1" applyBorder="1" applyAlignment="1" applyProtection="1">
      <alignment horizontal="center" vertical="center" textRotation="90" wrapText="1"/>
    </xf>
    <xf numFmtId="9" fontId="4" fillId="10" borderId="9" xfId="20" applyFont="1" applyFill="1" applyBorder="1" applyAlignment="1" applyProtection="1">
      <alignment horizontal="center" vertical="center" textRotation="90" wrapText="1"/>
    </xf>
    <xf numFmtId="9" fontId="4" fillId="13" borderId="11" xfId="20" applyFont="1" applyFill="1" applyBorder="1" applyAlignment="1" applyProtection="1">
      <alignment horizontal="center" vertical="center" textRotation="90" wrapText="1"/>
    </xf>
    <xf numFmtId="9" fontId="4" fillId="13" borderId="9" xfId="20" applyFont="1" applyFill="1" applyBorder="1" applyAlignment="1" applyProtection="1">
      <alignment horizontal="center" vertical="center" textRotation="90" wrapText="1"/>
    </xf>
    <xf numFmtId="0" fontId="4" fillId="10" borderId="1"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9" fontId="4" fillId="10" borderId="11" xfId="20" applyFont="1" applyFill="1" applyBorder="1" applyAlignment="1" applyProtection="1">
      <alignment horizontal="center" vertical="center" wrapText="1"/>
    </xf>
    <xf numFmtId="9" fontId="4" fillId="10" borderId="9" xfId="20" applyFont="1" applyFill="1" applyBorder="1" applyAlignment="1" applyProtection="1">
      <alignment horizontal="center" vertical="center" wrapText="1"/>
    </xf>
    <xf numFmtId="14" fontId="4" fillId="4" borderId="11" xfId="0" applyNumberFormat="1" applyFont="1" applyFill="1" applyBorder="1" applyAlignment="1" applyProtection="1">
      <alignment horizontal="center" vertical="center" wrapText="1"/>
    </xf>
    <xf numFmtId="14" fontId="4" fillId="4" borderId="12" xfId="0" applyNumberFormat="1" applyFont="1" applyFill="1" applyBorder="1" applyAlignment="1" applyProtection="1">
      <alignment horizontal="center" vertical="center" wrapText="1"/>
    </xf>
    <xf numFmtId="14" fontId="4" fillId="4" borderId="9" xfId="0" applyNumberFormat="1" applyFont="1" applyFill="1" applyBorder="1" applyAlignment="1" applyProtection="1">
      <alignment horizontal="center" vertical="center" wrapText="1"/>
    </xf>
    <xf numFmtId="9" fontId="4" fillId="4" borderId="11" xfId="20" applyFont="1" applyFill="1" applyBorder="1" applyAlignment="1" applyProtection="1">
      <alignment horizontal="center" vertical="center" wrapText="1"/>
    </xf>
    <xf numFmtId="9" fontId="4" fillId="4" borderId="12" xfId="20" applyFont="1" applyFill="1" applyBorder="1" applyAlignment="1" applyProtection="1">
      <alignment horizontal="center" vertical="center" wrapText="1"/>
    </xf>
    <xf numFmtId="9" fontId="4" fillId="4" borderId="9" xfId="20" applyFont="1" applyFill="1" applyBorder="1" applyAlignment="1" applyProtection="1">
      <alignment horizontal="center" vertical="center" wrapText="1"/>
    </xf>
    <xf numFmtId="0" fontId="4" fillId="12" borderId="5" xfId="0" applyFont="1" applyFill="1" applyBorder="1" applyAlignment="1" applyProtection="1">
      <alignment horizontal="center" vertical="center" wrapText="1"/>
    </xf>
    <xf numFmtId="0" fontId="4" fillId="12" borderId="10" xfId="0" applyFont="1" applyFill="1" applyBorder="1" applyAlignment="1" applyProtection="1">
      <alignment horizontal="center" vertical="center" wrapText="1"/>
    </xf>
    <xf numFmtId="0" fontId="4" fillId="12" borderId="7" xfId="0" applyFont="1" applyFill="1" applyBorder="1" applyAlignment="1" applyProtection="1">
      <alignment horizontal="center" vertical="center" wrapText="1"/>
    </xf>
    <xf numFmtId="14" fontId="4" fillId="9" borderId="1" xfId="0" applyNumberFormat="1" applyFont="1" applyFill="1" applyBorder="1" applyAlignment="1" applyProtection="1">
      <alignment horizontal="center" vertical="center" wrapText="1"/>
    </xf>
    <xf numFmtId="9" fontId="4" fillId="10" borderId="5" xfId="20" applyFont="1" applyFill="1" applyBorder="1" applyAlignment="1" applyProtection="1">
      <alignment horizontal="center" vertical="center" wrapText="1"/>
    </xf>
    <xf numFmtId="9" fontId="4" fillId="10" borderId="10" xfId="20" applyFont="1" applyFill="1" applyBorder="1" applyAlignment="1" applyProtection="1">
      <alignment horizontal="center" vertical="center" wrapText="1"/>
    </xf>
    <xf numFmtId="9" fontId="4" fillId="10" borderId="7" xfId="20" applyFont="1" applyFill="1" applyBorder="1" applyAlignment="1" applyProtection="1">
      <alignment horizontal="center" vertical="center" wrapText="1"/>
    </xf>
    <xf numFmtId="14" fontId="4" fillId="11" borderId="11" xfId="0" applyNumberFormat="1" applyFont="1" applyFill="1" applyBorder="1" applyAlignment="1" applyProtection="1">
      <alignment horizontal="center" vertical="center" wrapText="1"/>
    </xf>
    <xf numFmtId="14" fontId="4" fillId="11" borderId="12" xfId="0" applyNumberFormat="1" applyFont="1" applyFill="1" applyBorder="1" applyAlignment="1" applyProtection="1">
      <alignment horizontal="center" vertical="center" wrapText="1"/>
    </xf>
    <xf numFmtId="14" fontId="4" fillId="11" borderId="9" xfId="0" applyNumberFormat="1" applyFont="1" applyFill="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5" xfId="0" applyFont="1" applyBorder="1" applyAlignment="1" applyProtection="1">
      <alignment horizontal="center" vertical="center"/>
    </xf>
    <xf numFmtId="0" fontId="4" fillId="14" borderId="3" xfId="0" applyFont="1" applyFill="1" applyBorder="1" applyAlignment="1" applyProtection="1">
      <alignment horizontal="center" vertical="center" wrapText="1"/>
    </xf>
    <xf numFmtId="0" fontId="4" fillId="14" borderId="0" xfId="0" applyFont="1" applyFill="1" applyBorder="1" applyAlignment="1" applyProtection="1">
      <alignment horizontal="center" vertical="center" wrapText="1"/>
    </xf>
    <xf numFmtId="0" fontId="4" fillId="14" borderId="6" xfId="0" applyFont="1" applyFill="1" applyBorder="1" applyAlignment="1" applyProtection="1">
      <alignment horizontal="center" vertic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4" borderId="1" xfId="0" applyFont="1" applyFill="1" applyBorder="1" applyAlignment="1">
      <alignment horizontal="center" vertical="center" wrapText="1"/>
    </xf>
    <xf numFmtId="0" fontId="4" fillId="3" borderId="6"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7" borderId="1" xfId="0" applyFont="1" applyFill="1" applyBorder="1" applyAlignment="1" applyProtection="1">
      <alignment horizontal="center" vertical="center" wrapText="1"/>
    </xf>
    <xf numFmtId="0" fontId="2" fillId="0" borderId="1" xfId="0" applyFont="1" applyBorder="1"/>
    <xf numFmtId="9" fontId="4" fillId="12" borderId="11" xfId="20" applyFont="1" applyFill="1" applyBorder="1" applyAlignment="1" applyProtection="1">
      <alignment horizontal="center" vertical="center" wrapText="1"/>
    </xf>
    <xf numFmtId="9" fontId="4" fillId="12" borderId="12" xfId="20" applyFont="1" applyFill="1" applyBorder="1" applyAlignment="1" applyProtection="1">
      <alignment horizontal="center" vertical="center" wrapText="1"/>
    </xf>
    <xf numFmtId="9" fontId="4" fillId="12" borderId="9" xfId="20" applyFont="1" applyFill="1" applyBorder="1" applyAlignment="1" applyProtection="1">
      <alignment horizontal="center" vertical="center" wrapText="1"/>
    </xf>
  </cellXfs>
  <cellStyles count="37">
    <cellStyle name="Hipervínculo" xfId="1" builtinId="8"/>
    <cellStyle name="Hipervínculo 2" xfId="2"/>
    <cellStyle name="Hipervínculo 2 2" xfId="3"/>
    <cellStyle name="Hipervínculo 2_Plan de Acción 2012 Seguimiento Sept" xfId="4"/>
    <cellStyle name="Hipervínculo 3" xfId="5"/>
    <cellStyle name="Hipervínculo 3 2" xfId="6"/>
    <cellStyle name="Hipervínculo 3_Plan de Acción 2012 Seguimiento Sept" xfId="7"/>
    <cellStyle name="Millares" xfId="30" builtinId="3"/>
    <cellStyle name="Millares 2" xfId="8"/>
    <cellStyle name="Millares 2 2" xfId="9"/>
    <cellStyle name="Moneda" xfId="33" builtinId="4"/>
    <cellStyle name="Normal" xfId="0" builtinId="0"/>
    <cellStyle name="Normal 2" xfId="10"/>
    <cellStyle name="Normal 2 2" xfId="11"/>
    <cellStyle name="Normal 2 2 2" xfId="12"/>
    <cellStyle name="Normal 2 2 2 2" xfId="35"/>
    <cellStyle name="Normal 2 2_Plan de Acción 2012 Seguimiento Sept" xfId="13"/>
    <cellStyle name="Normal 2 3" xfId="14"/>
    <cellStyle name="Normal 2 3 2" xfId="15"/>
    <cellStyle name="Normal 2 3_Plan de Acción 2012 Seguimiento Sept" xfId="16"/>
    <cellStyle name="Normal 2 4" xfId="32"/>
    <cellStyle name="Normal 4" xfId="34"/>
    <cellStyle name="Normal 6" xfId="17"/>
    <cellStyle name="Normal_010001004 ANEXO 4 FORMATO HOJA DE VIDA INDICADOR" xfId="18"/>
    <cellStyle name="Normal_Propuesta Plan de Acción Versión 2.0 OCI" xfId="19"/>
    <cellStyle name="Normal_Propuesta Plan de Acción Versión 2.0 R.F. y J.C." xfId="28"/>
    <cellStyle name="Porcentaje" xfId="20" builtinId="5"/>
    <cellStyle name="Porcentaje 2" xfId="21"/>
    <cellStyle name="Porcentaje 2 2" xfId="31"/>
    <cellStyle name="Porcentaje 2 2 2" xfId="36"/>
    <cellStyle name="Porcentaje 3" xfId="22"/>
    <cellStyle name="Porcentaje 3 2" xfId="23"/>
    <cellStyle name="Porcentaje 4" xfId="24"/>
    <cellStyle name="Porcentaje 4 2" xfId="25"/>
    <cellStyle name="Porcentaje 5" xfId="26"/>
    <cellStyle name="Porcentaje 6" xfId="27"/>
    <cellStyle name="Porcentaje 6 2" xfId="29"/>
  </cellStyles>
  <dxfs count="184">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theme="7" tint="0.79998168889431442"/>
        </patternFill>
      </fill>
    </dxf>
    <dxf>
      <fill>
        <gradientFill degree="90">
          <stop position="0">
            <color theme="0"/>
          </stop>
          <stop position="1">
            <color rgb="FFFFFF00"/>
          </stop>
        </gradientFill>
      </fill>
    </dxf>
    <dxf>
      <fill>
        <gradientFill degree="90">
          <stop position="0">
            <color theme="0"/>
          </stop>
          <stop position="1">
            <color rgb="FF92D050"/>
          </stop>
        </gradientFill>
      </fill>
    </dxf>
    <dxf>
      <fill>
        <gradientFill degree="90">
          <stop position="0">
            <color theme="0"/>
          </stop>
          <stop position="1">
            <color rgb="FFFF0000"/>
          </stop>
        </gradientFill>
      </fill>
    </dxf>
    <dxf>
      <fill>
        <patternFill>
          <bgColor theme="7" tint="0.79998168889431442"/>
        </patternFill>
      </fill>
    </dxf>
    <dxf>
      <fill>
        <gradientFill degree="90">
          <stop position="0">
            <color theme="0"/>
          </stop>
          <stop position="1">
            <color rgb="FFFFFF00"/>
          </stop>
        </gradientFill>
      </fill>
    </dxf>
    <dxf>
      <fill>
        <gradientFill degree="90">
          <stop position="0">
            <color theme="0"/>
          </stop>
          <stop position="1">
            <color rgb="FF92D050"/>
          </stop>
        </gradientFill>
      </fill>
    </dxf>
    <dxf>
      <fill>
        <gradientFill degree="90">
          <stop position="0">
            <color theme="0"/>
          </stop>
          <stop position="1">
            <color rgb="FFFF0000"/>
          </stop>
        </gradient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theme="7" tint="0.79998168889431442"/>
        </patternFill>
      </fill>
    </dxf>
    <dxf>
      <fill>
        <patternFill>
          <bgColor theme="7" tint="0.79998168889431442"/>
        </patternFill>
      </fill>
    </dxf>
    <dxf>
      <fill>
        <gradientFill degree="90">
          <stop position="0">
            <color theme="0"/>
          </stop>
          <stop position="1">
            <color rgb="FFFFFF00"/>
          </stop>
        </gradientFill>
      </fill>
    </dxf>
    <dxf>
      <fill>
        <gradientFill degree="90">
          <stop position="0">
            <color theme="0"/>
          </stop>
          <stop position="1">
            <color rgb="FF92D050"/>
          </stop>
        </gradientFill>
      </fill>
    </dxf>
    <dxf>
      <fill>
        <gradientFill degree="90">
          <stop position="0">
            <color theme="0"/>
          </stop>
          <stop position="1">
            <color rgb="FFF15D5D"/>
          </stop>
        </gradientFill>
      </fill>
    </dxf>
    <dxf>
      <fill>
        <patternFill>
          <bgColor theme="7" tint="0.79998168889431442"/>
        </patternFill>
      </fill>
    </dxf>
    <dxf>
      <fill>
        <gradientFill degree="90">
          <stop position="0">
            <color theme="0"/>
          </stop>
          <stop position="1">
            <color rgb="FFFFFF00"/>
          </stop>
        </gradientFill>
      </fill>
    </dxf>
    <dxf>
      <fill>
        <gradientFill degree="90">
          <stop position="0">
            <color theme="0"/>
          </stop>
          <stop position="1">
            <color rgb="FF92D050"/>
          </stop>
        </gradientFill>
      </fill>
    </dxf>
    <dxf>
      <fill>
        <gradientFill degree="90">
          <stop position="0">
            <color theme="0"/>
          </stop>
          <stop position="1">
            <color rgb="FFF15D5D"/>
          </stop>
        </gradientFill>
      </fill>
    </dxf>
    <dxf>
      <fill>
        <patternFill>
          <bgColor theme="7" tint="0.79998168889431442"/>
        </patternFill>
      </fill>
    </dxf>
    <dxf>
      <fill>
        <gradientFill degree="90">
          <stop position="0">
            <color theme="0"/>
          </stop>
          <stop position="1">
            <color rgb="FFFFFF00"/>
          </stop>
        </gradientFill>
      </fill>
    </dxf>
    <dxf>
      <fill>
        <gradientFill degree="90">
          <stop position="0">
            <color theme="0"/>
          </stop>
          <stop position="1">
            <color rgb="FF92D050"/>
          </stop>
        </gradientFill>
      </fill>
    </dxf>
    <dxf>
      <fill>
        <gradientFill degree="90">
          <stop position="0">
            <color theme="0"/>
          </stop>
          <stop position="1">
            <color rgb="FFF15D5D"/>
          </stop>
        </gradient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gradientFill degree="90">
          <stop position="0">
            <color theme="0"/>
          </stop>
          <stop position="1">
            <color rgb="FFFFFF00"/>
          </stop>
        </gradientFill>
      </fill>
    </dxf>
    <dxf>
      <fill>
        <gradientFill degree="90">
          <stop position="0">
            <color theme="0"/>
          </stop>
          <stop position="1">
            <color rgb="FF92D050"/>
          </stop>
        </gradientFill>
      </fill>
    </dxf>
    <dxf>
      <fill>
        <gradientFill degree="90">
          <stop position="0">
            <color theme="0"/>
          </stop>
          <stop position="1">
            <color rgb="FFFF0000"/>
          </stop>
        </gradientFill>
      </fill>
    </dxf>
    <dxf>
      <fill>
        <gradientFill degree="90">
          <stop position="0">
            <color theme="0"/>
          </stop>
          <stop position="1">
            <color rgb="FFFFFF00"/>
          </stop>
        </gradientFill>
      </fill>
    </dxf>
    <dxf>
      <fill>
        <gradientFill degree="90">
          <stop position="0">
            <color theme="0"/>
          </stop>
          <stop position="1">
            <color rgb="FF92D050"/>
          </stop>
        </gradientFill>
      </fill>
    </dxf>
    <dxf>
      <fill>
        <gradientFill degree="90">
          <stop position="0">
            <color theme="0"/>
          </stop>
          <stop position="1">
            <color rgb="FFF15D5D"/>
          </stop>
        </gradientFill>
      </fill>
    </dxf>
    <dxf>
      <fill>
        <patternFill>
          <bgColor theme="7" tint="0.79998168889431442"/>
        </patternFill>
      </fill>
    </dxf>
    <dxf>
      <fill>
        <patternFill>
          <bgColor theme="7" tint="0.79998168889431442"/>
        </patternFill>
      </fill>
    </dxf>
    <dxf>
      <fill>
        <gradientFill degree="90">
          <stop position="0">
            <color theme="0"/>
          </stop>
          <stop position="1">
            <color rgb="FFFFFF00"/>
          </stop>
        </gradientFill>
      </fill>
    </dxf>
    <dxf>
      <fill>
        <gradientFill degree="90">
          <stop position="0">
            <color theme="0"/>
          </stop>
          <stop position="1">
            <color rgb="FF92D050"/>
          </stop>
        </gradientFill>
      </fill>
    </dxf>
    <dxf>
      <fill>
        <gradientFill degree="90">
          <stop position="0">
            <color theme="0"/>
          </stop>
          <stop position="1">
            <color rgb="FFF15D5D"/>
          </stop>
        </gradientFill>
      </fill>
    </dxf>
    <dxf>
      <fill>
        <patternFill>
          <bgColor theme="7" tint="0.79998168889431442"/>
        </patternFill>
      </fill>
    </dxf>
    <dxf>
      <fill>
        <patternFill>
          <bgColor theme="7" tint="0.79998168889431442"/>
        </patternFill>
      </fill>
    </dxf>
    <dxf>
      <fill>
        <patternFill>
          <bgColor theme="7" tint="0.79998168889431442"/>
        </patternFill>
      </fill>
    </dxf>
    <dxf>
      <fill>
        <gradientFill degree="90">
          <stop position="0">
            <color theme="0"/>
          </stop>
          <stop position="1">
            <color rgb="FFFFFF00"/>
          </stop>
        </gradientFill>
      </fill>
    </dxf>
    <dxf>
      <fill>
        <gradientFill degree="90">
          <stop position="0">
            <color theme="0"/>
          </stop>
          <stop position="1">
            <color rgb="FF92D050"/>
          </stop>
        </gradientFill>
      </fill>
    </dxf>
    <dxf>
      <fill>
        <gradientFill degree="90">
          <stop position="0">
            <color theme="0"/>
          </stop>
          <stop position="1">
            <color rgb="FFFF0000"/>
          </stop>
        </gradientFill>
      </fill>
    </dxf>
    <dxf>
      <fill>
        <gradientFill degree="90">
          <stop position="0">
            <color theme="0"/>
          </stop>
          <stop position="1">
            <color rgb="FFFFFF00"/>
          </stop>
        </gradientFill>
      </fill>
    </dxf>
    <dxf>
      <fill>
        <gradientFill degree="90">
          <stop position="0">
            <color theme="0"/>
          </stop>
          <stop position="1">
            <color rgb="FF92D050"/>
          </stop>
        </gradientFill>
      </fill>
    </dxf>
    <dxf>
      <fill>
        <gradientFill degree="90">
          <stop position="0">
            <color theme="0"/>
          </stop>
          <stop position="1">
            <color rgb="FFF15D5D"/>
          </stop>
        </gradientFill>
      </fill>
    </dxf>
    <dxf>
      <fill>
        <patternFill>
          <bgColor theme="7" tint="0.79998168889431442"/>
        </patternFill>
      </fill>
    </dxf>
    <dxf>
      <fill>
        <patternFill>
          <bgColor theme="7" tint="0.79998168889431442"/>
        </patternFill>
      </fill>
    </dxf>
    <dxf>
      <fill>
        <gradientFill degree="90">
          <stop position="0">
            <color theme="0"/>
          </stop>
          <stop position="1">
            <color rgb="FFFFFF00"/>
          </stop>
        </gradientFill>
      </fill>
    </dxf>
    <dxf>
      <fill>
        <gradientFill degree="90">
          <stop position="0">
            <color theme="0"/>
          </stop>
          <stop position="1">
            <color rgb="FF92D050"/>
          </stop>
        </gradientFill>
      </fill>
    </dxf>
    <dxf>
      <fill>
        <gradientFill degree="90">
          <stop position="0">
            <color theme="0"/>
          </stop>
          <stop position="1">
            <color rgb="FFF15D5D"/>
          </stop>
        </gradientFill>
      </fill>
    </dxf>
    <dxf>
      <fill>
        <patternFill>
          <bgColor theme="7" tint="0.79998168889431442"/>
        </patternFill>
      </fill>
    </dxf>
    <dxf>
      <fill>
        <patternFill>
          <bgColor theme="7" tint="0.79998168889431442"/>
        </patternFill>
      </fill>
    </dxf>
    <dxf>
      <fill>
        <gradientFill degree="90">
          <stop position="0">
            <color theme="0"/>
          </stop>
          <stop position="1">
            <color rgb="FFFFFF00"/>
          </stop>
        </gradientFill>
      </fill>
    </dxf>
    <dxf>
      <fill>
        <gradientFill degree="90">
          <stop position="0">
            <color theme="0"/>
          </stop>
          <stop position="1">
            <color rgb="FF92D050"/>
          </stop>
        </gradientFill>
      </fill>
    </dxf>
    <dxf>
      <fill>
        <gradientFill degree="90">
          <stop position="0">
            <color theme="0"/>
          </stop>
          <stop position="1">
            <color rgb="FFFF0000"/>
          </stop>
        </gradientFill>
      </fill>
    </dxf>
    <dxf>
      <fill>
        <patternFill>
          <bgColor theme="7" tint="0.79998168889431442"/>
        </patternFill>
      </fill>
    </dxf>
    <dxf>
      <fill>
        <gradientFill degree="90">
          <stop position="0">
            <color theme="0"/>
          </stop>
          <stop position="1">
            <color rgb="FFFFFF00"/>
          </stop>
        </gradientFill>
      </fill>
    </dxf>
    <dxf>
      <fill>
        <gradientFill degree="90">
          <stop position="0">
            <color theme="0"/>
          </stop>
          <stop position="1">
            <color rgb="FF92D050"/>
          </stop>
        </gradientFill>
      </fill>
    </dxf>
    <dxf>
      <fill>
        <gradientFill degree="90">
          <stop position="0">
            <color theme="0"/>
          </stop>
          <stop position="1">
            <color rgb="FFFF0000"/>
          </stop>
        </gradientFill>
      </fill>
    </dxf>
    <dxf>
      <fill>
        <patternFill>
          <bgColor theme="7" tint="0.79998168889431442"/>
        </patternFill>
      </fill>
    </dxf>
    <dxf>
      <fill>
        <gradientFill degree="90">
          <stop position="0">
            <color theme="0"/>
          </stop>
          <stop position="1">
            <color rgb="FFFF0000"/>
          </stop>
        </gradientFill>
      </fill>
    </dxf>
    <dxf>
      <fill>
        <gradientFill degree="90">
          <stop position="0">
            <color theme="0"/>
          </stop>
          <stop position="1">
            <color rgb="FF92D050"/>
          </stop>
        </gradientFill>
      </fill>
    </dxf>
    <dxf>
      <fill>
        <gradientFill degree="90">
          <stop position="0">
            <color theme="0"/>
          </stop>
          <stop position="1">
            <color rgb="FFFFFF00"/>
          </stop>
        </gradient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indexed="11"/>
        </patternFill>
      </fill>
    </dxf>
    <dxf>
      <fill>
        <patternFill>
          <bgColor indexed="43"/>
        </patternFill>
      </fill>
    </dxf>
    <dxf>
      <fill>
        <patternFill>
          <bgColor indexed="10"/>
        </patternFill>
      </fill>
    </dxf>
    <dxf>
      <fill>
        <patternFill>
          <bgColor rgb="FFFF0000"/>
        </patternFill>
      </fill>
    </dxf>
    <dxf>
      <fill>
        <patternFill>
          <bgColor rgb="FFFFFF00"/>
        </patternFill>
      </fill>
    </dxf>
    <dxf>
      <fill>
        <patternFill>
          <bgColor rgb="FF00FF00"/>
        </patternFill>
      </fill>
    </dxf>
    <dxf>
      <fill>
        <patternFill>
          <bgColor rgb="FF92D05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s>
  <tableStyles count="0" defaultTableStyle="TableStyleMedium9" defaultPivotStyle="PivotStyleLight16"/>
  <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s-CO"/>
              <a:t>Evolución 12 últimos meses</a:t>
            </a:r>
          </a:p>
        </c:rich>
      </c:tx>
      <c:layout>
        <c:manualLayout>
          <c:xMode val="edge"/>
          <c:yMode val="edge"/>
          <c:x val="0.29566914305203373"/>
          <c:y val="3.3742331288343558E-2"/>
        </c:manualLayout>
      </c:layout>
      <c:overlay val="0"/>
      <c:spPr>
        <a:noFill/>
        <a:ln w="25400">
          <a:noFill/>
        </a:ln>
      </c:spPr>
    </c:title>
    <c:autoTitleDeleted val="0"/>
    <c:plotArea>
      <c:layout>
        <c:manualLayout>
          <c:layoutTarget val="inner"/>
          <c:xMode val="edge"/>
          <c:yMode val="edge"/>
          <c:x val="9.9811859646928791E-2"/>
          <c:y val="0.20858895705521471"/>
          <c:w val="0.72128192914667411"/>
          <c:h val="0.65337423312883436"/>
        </c:manualLayout>
      </c:layout>
      <c:lineChart>
        <c:grouping val="standard"/>
        <c:varyColors val="0"/>
        <c:ser>
          <c:idx val="0"/>
          <c:order val="0"/>
          <c:tx>
            <c:strRef>
              <c:f>'cump obj'!$A$9</c:f>
              <c:strCache>
                <c:ptCount val="1"/>
                <c:pt idx="0">
                  <c:v>INDIC.</c:v>
                </c:pt>
              </c:strCache>
            </c:strRef>
          </c:tx>
          <c:spPr>
            <a:ln w="12700">
              <a:solidFill>
                <a:srgbClr val="000080"/>
              </a:solidFill>
              <a:prstDash val="solid"/>
            </a:ln>
          </c:spPr>
          <c:marker>
            <c:symbol val="diamond"/>
            <c:size val="3"/>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'cump obj'!$B$8:$M$8</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'cump obj'!$B$9:$M$9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'cump obj'!$A$10</c:f>
              <c:strCache>
                <c:ptCount val="1"/>
                <c:pt idx="0">
                  <c:v>MIN</c:v>
                </c:pt>
              </c:strCache>
            </c:strRef>
          </c:tx>
          <c:spPr>
            <a:ln w="12700">
              <a:solidFill>
                <a:srgbClr val="FF00FF"/>
              </a:solidFill>
              <a:prstDash val="solid"/>
            </a:ln>
          </c:spPr>
          <c:marker>
            <c:symbol val="none"/>
          </c:marker>
          <c:cat>
            <c:numRef>
              <c:f>'cump obj'!$B$8:$M$8</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'cump obj'!$B$10:$M$10</c:f>
              <c:numCache>
                <c:formatCode>0%</c:formatCode>
                <c:ptCount val="12"/>
                <c:pt idx="0">
                  <c:v>0.6</c:v>
                </c:pt>
                <c:pt idx="1">
                  <c:v>0.6</c:v>
                </c:pt>
                <c:pt idx="2">
                  <c:v>0.6</c:v>
                </c:pt>
                <c:pt idx="3">
                  <c:v>0.6</c:v>
                </c:pt>
                <c:pt idx="4">
                  <c:v>0.6</c:v>
                </c:pt>
                <c:pt idx="5">
                  <c:v>0.6</c:v>
                </c:pt>
                <c:pt idx="6">
                  <c:v>0.6</c:v>
                </c:pt>
                <c:pt idx="7">
                  <c:v>0.6</c:v>
                </c:pt>
                <c:pt idx="8">
                  <c:v>0.6</c:v>
                </c:pt>
                <c:pt idx="9">
                  <c:v>0.6</c:v>
                </c:pt>
                <c:pt idx="10">
                  <c:v>0.6</c:v>
                </c:pt>
                <c:pt idx="11">
                  <c:v>0.6</c:v>
                </c:pt>
              </c:numCache>
            </c:numRef>
          </c:val>
          <c:smooth val="0"/>
        </c:ser>
        <c:ser>
          <c:idx val="2"/>
          <c:order val="2"/>
          <c:tx>
            <c:strRef>
              <c:f>'cump obj'!$A$11</c:f>
              <c:strCache>
                <c:ptCount val="1"/>
                <c:pt idx="0">
                  <c:v>MAX</c:v>
                </c:pt>
              </c:strCache>
            </c:strRef>
          </c:tx>
          <c:spPr>
            <a:ln w="12700">
              <a:solidFill>
                <a:srgbClr val="FFFF00"/>
              </a:solidFill>
              <a:prstDash val="solid"/>
            </a:ln>
          </c:spPr>
          <c:marker>
            <c:symbol val="none"/>
          </c:marker>
          <c:cat>
            <c:numRef>
              <c:f>'cump obj'!$B$8:$M$8</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'cump obj'!$B$11:$M$11</c:f>
              <c:numCache>
                <c:formatCode>0%</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ser>
        <c:dLbls>
          <c:showLegendKey val="0"/>
          <c:showVal val="0"/>
          <c:showCatName val="0"/>
          <c:showSerName val="0"/>
          <c:showPercent val="0"/>
          <c:showBubbleSize val="0"/>
        </c:dLbls>
        <c:marker val="1"/>
        <c:smooth val="0"/>
        <c:axId val="1765988000"/>
        <c:axId val="1765979840"/>
      </c:lineChart>
      <c:catAx>
        <c:axId val="17659880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765979840"/>
        <c:crosses val="autoZero"/>
        <c:auto val="1"/>
        <c:lblAlgn val="ctr"/>
        <c:lblOffset val="100"/>
        <c:tickLblSkip val="1"/>
        <c:tickMarkSkip val="1"/>
        <c:noMultiLvlLbl val="0"/>
      </c:catAx>
      <c:valAx>
        <c:axId val="176597984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765988000"/>
        <c:crosses val="autoZero"/>
        <c:crossBetween val="between"/>
      </c:valAx>
      <c:spPr>
        <a:solidFill>
          <a:srgbClr val="C0C0C0"/>
        </a:solidFill>
        <a:ln w="12700">
          <a:solidFill>
            <a:srgbClr val="808080"/>
          </a:solidFill>
          <a:prstDash val="solid"/>
        </a:ln>
      </c:spPr>
    </c:plotArea>
    <c:legend>
      <c:legendPos val="r"/>
      <c:layout>
        <c:manualLayout>
          <c:xMode val="edge"/>
          <c:yMode val="edge"/>
          <c:x val="0.83241741674946002"/>
          <c:y val="0.42332705344347299"/>
          <c:w val="0.14313052676325067"/>
          <c:h val="0.19632545931758527"/>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es-CO"/>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381000</xdr:colOff>
      <xdr:row>13</xdr:row>
      <xdr:rowOff>66675</xdr:rowOff>
    </xdr:from>
    <xdr:to>
      <xdr:col>10</xdr:col>
      <xdr:colOff>171450</xdr:colOff>
      <xdr:row>32</xdr:row>
      <xdr:rowOff>85725</xdr:rowOff>
    </xdr:to>
    <xdr:graphicFrame macro="">
      <xdr:nvGraphicFramePr>
        <xdr:cNvPr id="4163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134215</xdr:colOff>
      <xdr:row>0</xdr:row>
      <xdr:rowOff>47626</xdr:rowOff>
    </xdr:from>
    <xdr:to>
      <xdr:col>2</xdr:col>
      <xdr:colOff>200889</xdr:colOff>
      <xdr:row>2</xdr:row>
      <xdr:rowOff>185368</xdr:rowOff>
    </xdr:to>
    <xdr:pic>
      <xdr:nvPicPr>
        <xdr:cNvPr id="2" name="Picture 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215" y="47626"/>
          <a:ext cx="707447" cy="795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vargas\Downloads\010001004%20ANEXO%204%20FORMATO%20HOJA%20DE%20VIDA%20INDICAD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VIDA 1001004"/>
      <sheetName val="INTRUCTIVO HOJA INDICADOR"/>
      <sheetName val="Base de Datos"/>
    </sheetNames>
    <sheetDataSet>
      <sheetData sheetId="0"/>
      <sheetData sheetId="1"/>
      <sheetData sheetId="2">
        <row r="1">
          <cell r="A1" t="str">
            <v>PROCESOS</v>
          </cell>
          <cell r="I1" t="str">
            <v>OBJETIVO DEL PROCESO</v>
          </cell>
        </row>
        <row r="2">
          <cell r="A2" t="str">
            <v>Lista desplegable</v>
          </cell>
          <cell r="I2" t="str">
            <v>Lista desplegable</v>
          </cell>
        </row>
        <row r="3">
          <cell r="A3" t="str">
            <v>PROCESO DE DIRECCIONAMIENTO ESTRATÉGICO - PDE - CÓDIGO 010.</v>
          </cell>
          <cell r="I3" t="str">
            <v>Difundir la orientación estratégica de la entidad de conformidad con las disposiciones legales vigentes, a través de la implementación de políticas, estrategias, lineamientos, objetivos y metas, para el  cumplimiento de la misión institucional.</v>
          </cell>
        </row>
        <row r="4">
          <cell r="A4" t="str">
            <v>PROCESO DE TECNOLOGÍAS DE LA INFORMACIÓN Y LAS COMUNICACIONES - PTICS - CÓDIGO 100.</v>
          </cell>
          <cell r="I4" t="str">
            <v>Estandarizar e integrar los sistemas de información institucionales, automatizar procesos y gestionar tecnológicamente comunicaciones unificadas para apoyar el proceso de toma de decisiones en la entidad.</v>
          </cell>
        </row>
        <row r="5">
          <cell r="A5" t="str">
            <v>PROCESO DE COMUNICACIÓN ESTRATÉGICA - PCE - CÓDIGO 110.</v>
          </cell>
          <cell r="I5" t="str">
            <v>Diseñar y difundir la política comunicacional interna y externa de la entidad, a través de la implementación de estrategias informativas, encaminadas a posicionar la imagen de la Contraloría de Bogotá.</v>
          </cell>
        </row>
        <row r="6">
          <cell r="A6" t="str">
            <v>PROCESO DE PARTICIPACIÓN CIUDADANA - PPC - CÓDIGO 020.</v>
          </cell>
          <cell r="I6" t="str">
            <v xml:space="preserve">Establecer un enlace permanente con los clientes de la entidad: Concejo y Ciudadanía, promoviendo la participación ciudadana en el control fiscal y el apoyo al control político,  generando espacios en los que los clientes puedan dinamizar y consolidar su </v>
          </cell>
        </row>
        <row r="7">
          <cell r="A7" t="str">
            <v>PROCESO DE ESTUDIOS DE ECONOMÍA Y POLÍTICA PÚBLICA - PEPP - CÓDIGO 030.</v>
          </cell>
          <cell r="I7" t="str">
            <v>Realizar estudios e investigaciones que permitan evaluar la gestión fiscal de la administración distrital a través del plan de desarrollo, las políticas públicas y las finanzas de la Administración Distrital en coordinación con las direcciones sectoriales</v>
          </cell>
        </row>
        <row r="8">
          <cell r="A8" t="str">
            <v>PROCESO DE VIGILANCIA Y CONTROL A LA GESTIÓN FISCAL - PVCGF - CÓDIGO 040.</v>
          </cell>
          <cell r="I8" t="str">
            <v>Ejercer la vigilancia y control a la gestión fiscal de los sujetos de control, en aras del mejoramiento de la calidad de vida de los ciudadanos del Distrito Capital.</v>
          </cell>
        </row>
        <row r="9">
          <cell r="A9" t="str">
            <v>PROCESO RESPONSABILIDAD FISCAL Y JURISDICCIÓN COACTIVA - PRFJC - CÓDIGO 050.</v>
          </cell>
          <cell r="I9" t="str">
            <v>Adelantar el proceso de responsabilidad de conformidad con la Constitución Política y la ley para determinar y establecer la responsabilidad fiscal por el daño ocasionado al patrimonio del Distrito Capital, así como obtener su resarcimiento a través de la</v>
          </cell>
        </row>
        <row r="10">
          <cell r="A10" t="str">
            <v>PROCESO DE GESTIÓN JURÍDICA -PGJ - CÓDIGO 120.</v>
          </cell>
          <cell r="I10" t="str">
            <v>Realizar la defensa judicial y extrajudicial, así como la emisión de conceptos jurídicos requeridos para apoyar trámites y procesos estratégicos, misionales, de apoyo y de evaluación y control de la Contraloría de Bogotá, D.C., dentro de los términos esta</v>
          </cell>
        </row>
        <row r="11">
          <cell r="A11" t="str">
            <v>PROCESO DE GESTIÓN DEL TALENTO HUMANO - PGTL - CÓDIGO 060.</v>
          </cell>
          <cell r="I11" t="str">
            <v>Administrar de manera eficiente el talento humano al servicio de la Contraloría de Bogotá, D.C., mediante el desarrollo de estrategias administrativas y operativas que generen las condiciones laborales con las cuales los servidores públicos contribuyan al</v>
          </cell>
        </row>
        <row r="12">
          <cell r="A12" t="str">
            <v>PROCESO DE GESTIÓN FINANCIERA - PGF - CÓDIGO 130.</v>
          </cell>
          <cell r="I12" t="str">
            <v xml:space="preserve">Planear, ejecutar y hacer seguimiento a la ejecución presupuestal de los recursos apropiados a la Contraloría de Bogotá de acuerdo con la normatividad vigente a través de herramientas e instrumentos con el fin de dar a conocer de manera oportuna y veraz, </v>
          </cell>
        </row>
        <row r="13">
          <cell r="A13" t="str">
            <v>PROCESO DE GESTIÓN CONTRACTUAL - PGC - CÓDIGO 140.</v>
          </cell>
          <cell r="I13" t="str">
            <v>Adquirir los bienes y servicios, mediante la implementación de procedimientos de contratación ágiles en estricta observancia de la normatividad vigente, con el fin de mantener la eficiencia de servicios de la Contraloría de Bogotá.</v>
          </cell>
        </row>
        <row r="14">
          <cell r="A14" t="str">
            <v>PROCESO DE  GESTIÓN DE RECURSOS FÍSICOS - PRF - CÓDIGO 080.</v>
          </cell>
          <cell r="I14" t="str">
            <v>Gestionar la provisión oportuna de los recursos físicos, equipos informáticos y de servicios administrativos de la Contraloría de Bogotá D.C., mediante la administración, mantenimiento y control de la infraestructura y equipos necesarios para garantizar l</v>
          </cell>
        </row>
        <row r="15">
          <cell r="A15" t="str">
            <v xml:space="preserve"> PROCESO DE GESTIÓN DOCUMENTAL - PGD - CÓDIGO 070.</v>
          </cell>
          <cell r="I15" t="str">
            <v>Implementar todas las actividades técnicas y administrativas que permitan un eficiente, eficaz y efectivo manejo y organización de la documentación producida y recibida por la Contraloría de Bogotá D.C., mediante la determinación de disposiciones y la apl</v>
          </cell>
        </row>
        <row r="16">
          <cell r="A16" t="str">
            <v>PROCESO DE EVALUACIÓN Y CONTROL - PEC - CÓDIGO 090.</v>
          </cell>
          <cell r="I16" t="str">
            <v>Evaluar permanentemente el desempeño de la Contraloría de Bogotá D.C., para el mantenimiento y mejora continua de los Sistemas de Control Interno, de Gestión de la Calidad y otros sistemas que adopte o deba adoptar la entidad en el contexto del Sistema In</v>
          </cell>
        </row>
        <row r="18">
          <cell r="I18" t="str">
            <v>PROYECTO DE INVERSION ASOCIADO</v>
          </cell>
        </row>
        <row r="19">
          <cell r="A19" t="str">
            <v>Lista desplegable</v>
          </cell>
          <cell r="I19" t="str">
            <v>Lista desplegable</v>
          </cell>
        </row>
        <row r="20">
          <cell r="A20" t="str">
            <v>1. Fortalecer la función de vigilancia  a la gestión fiscal.</v>
          </cell>
          <cell r="I20" t="str">
            <v>Aplica</v>
          </cell>
        </row>
        <row r="21">
          <cell r="A21" t="str">
            <v>2. Hacer efectivo el resarcimiento del daño causado al erario distrital.</v>
          </cell>
          <cell r="I21" t="str">
            <v>No Aplica</v>
          </cell>
        </row>
        <row r="22">
          <cell r="A22" t="str">
            <v>3. Posicionar la imagen de la Contraloría de Bogotá, D.C.</v>
          </cell>
          <cell r="I22" t="str">
            <v>Proyecto 770 - Control Social a la Gestión Pública</v>
          </cell>
        </row>
        <row r="23">
          <cell r="I23" t="str">
            <v>Proyecto 776 - Fortalecimiento Capacidad Institucional</v>
          </cell>
        </row>
        <row r="24">
          <cell r="A24" t="str">
            <v>ESTRATEGIAS</v>
          </cell>
        </row>
        <row r="25">
          <cell r="A25" t="str">
            <v>Lista desplegable</v>
          </cell>
        </row>
        <row r="26">
          <cell r="A26" t="str">
            <v>1.1 Implementar una moderna  auditoría fiscal.</v>
          </cell>
        </row>
        <row r="27">
          <cell r="A27" t="str">
            <v>1.2 Actualizar y mantener la plataforma tecnológica para implementar el uso de las TICs.</v>
          </cell>
        </row>
        <row r="28">
          <cell r="A28" t="str">
            <v>1.3. Optimizar la asignación de los recursos físicos y financieros de la entidad.</v>
          </cell>
        </row>
        <row r="29">
          <cell r="A29" t="str">
            <v>1.4. Redireccionar la gestión del talento humano para el cumplimiento de los objetivos institucionales.</v>
          </cell>
        </row>
        <row r="30">
          <cell r="A30" t="str">
            <v>1.5. Mejorar las competencias de los  funcionarios de la Contraloría de Bogotá, D.C., para ejercer un control efectivo y transparente.</v>
          </cell>
        </row>
        <row r="31">
          <cell r="A31" t="str">
            <v>1.6. Optimizar la evaluación de las políticas públicas distritales.</v>
          </cell>
        </row>
        <row r="32">
          <cell r="A32" t="str">
            <v>1.7 Formar a los ciudadanos en los temas propios de control  fiscal  para contribuir al fortalecimiento del control social.</v>
          </cell>
        </row>
        <row r="33">
          <cell r="A33" t="str">
            <v>1.8 Fortalecer la defensa judicial y la prevención del  daño antijurídico.</v>
          </cell>
        </row>
        <row r="34">
          <cell r="A34" t="str">
            <v>2.1 Implementar un nuevo modelo de gestión al interior del Proceso de prestación del servicio de Responsabilidad Fiscal y Jurisdicción Coactiva.</v>
          </cell>
        </row>
        <row r="35">
          <cell r="A35" t="str">
            <v xml:space="preserve">2.2 Unificar criterios con el Proceso de Vigilancia y Control a la Gestión Fiscal, en temas relacionados con la cuantificación y materialización del daño, la gestión fiscal, la identificación de los presuntos responsables y el análisis de culpabilidad. </v>
          </cell>
        </row>
        <row r="36">
          <cell r="A36" t="str">
            <v>2.3 Decidir en oportunidad los procesos de responsabilidad fiscal ordinarios.</v>
          </cell>
        </row>
        <row r="37">
          <cell r="A37" t="str">
            <v>2.4. Efectuar el cobro a través del proceso de jurisdicción coactiva.</v>
          </cell>
        </row>
        <row r="38">
          <cell r="A38" t="str">
            <v>3.1. Fortalecer la comunicación interna y externa de la entidad.</v>
          </cell>
        </row>
        <row r="39">
          <cell r="A39" t="str">
            <v>3.2 Medir la percepción hacia la Contraloría de Bogotá, D.C.,  por parte de los grupos de interés ciudadanos.</v>
          </cell>
        </row>
        <row r="40">
          <cell r="A40" t="str">
            <v xml:space="preserve">3.3 Fortalecer los mecanismos de atención a los ciudadanos del Distrito Capital. </v>
          </cell>
        </row>
        <row r="43">
          <cell r="A43" t="str">
            <v>OBJETIVO AMBIENTAL</v>
          </cell>
        </row>
        <row r="44">
          <cell r="A44" t="str">
            <v>Lista desplegable</v>
          </cell>
        </row>
        <row r="45">
          <cell r="A45" t="str">
            <v>Aplica</v>
          </cell>
        </row>
        <row r="46">
          <cell r="A46" t="str">
            <v>No Aplica</v>
          </cell>
        </row>
        <row r="47">
          <cell r="A47" t="str">
            <v>Optimizar el uso del recurso hídrico en todas las sedes de la Contraloría de Bogotá.</v>
          </cell>
        </row>
        <row r="48">
          <cell r="A48" t="str">
            <v>Optimizar  el uso de energía eléctrica en todas las sedes de la Contraloría de Bogotá</v>
          </cell>
        </row>
        <row r="49">
          <cell r="A49" t="str">
            <v>Mejorar la gestión integral de los residuos, desde la separación en la fuente, hasta su disposición final en cada una de las sedes.</v>
          </cell>
        </row>
        <row r="50">
          <cell r="A50" t="str">
            <v>Mejorar las condiciones ambientales internas de los servidores y usuarios.</v>
          </cell>
        </row>
        <row r="51">
          <cell r="A51" t="str">
            <v>Adoptar los criterios ambientales para la gestión contractual, que promueva la eficiencia y sostenibilidad de los recursos.</v>
          </cell>
        </row>
        <row r="52">
          <cell r="A52" t="str">
            <v>Promover buenas prácticas ambientales, consolidando la cultura ambiental de los funcionarios, sujetos de control y usuarios en general.</v>
          </cell>
        </row>
        <row r="53">
          <cell r="A53" t="str">
            <v>Controlar ó mitigar los impactos ambientales generados por las emisiones atmosféricas del parque automotor de la Contraloría.</v>
          </cell>
        </row>
        <row r="56">
          <cell r="A56" t="str">
            <v>Lista desplegable</v>
          </cell>
        </row>
        <row r="57">
          <cell r="A57" t="str">
            <v>DESPACHO DEL CONTRALOR</v>
          </cell>
        </row>
        <row r="58">
          <cell r="A58" t="str">
            <v>DIRECCIÓN DE APOYO AL DESPACHO</v>
          </cell>
        </row>
        <row r="59">
          <cell r="A59" t="str">
            <v>DIRECCIÓN DE PARTICIPACIÓN CIUDADANA Y DESARROLLO LOCAL</v>
          </cell>
        </row>
        <row r="60">
          <cell r="A60" t="str">
            <v>SUBDIRECCIÓN DE GESTIÓN LOCAL</v>
          </cell>
        </row>
        <row r="61">
          <cell r="A61" t="str">
            <v>GERENCIA LOCAL USAQUEN</v>
          </cell>
        </row>
        <row r="62">
          <cell r="A62" t="str">
            <v>GERENCIA LOCAL CHAPINERO</v>
          </cell>
        </row>
        <row r="63">
          <cell r="A63" t="str">
            <v>GERENCIA LOCAL SANTAFE</v>
          </cell>
        </row>
        <row r="64">
          <cell r="A64" t="str">
            <v>GERENCIA LOCAL SAN CRISTÓBAL</v>
          </cell>
        </row>
        <row r="65">
          <cell r="A65" t="str">
            <v>GERENCIA LOCAL USME</v>
          </cell>
        </row>
        <row r="66">
          <cell r="A66" t="str">
            <v>GERENCIA LOCAL TUNJUELITO</v>
          </cell>
        </row>
        <row r="67">
          <cell r="A67" t="str">
            <v>GERENCIA LOCAL BOSA</v>
          </cell>
        </row>
        <row r="68">
          <cell r="A68" t="str">
            <v>GERENCIA LOCAL KENNEDY</v>
          </cell>
        </row>
        <row r="69">
          <cell r="A69" t="str">
            <v>GERENCIA LOCAL FONTIBON</v>
          </cell>
        </row>
        <row r="70">
          <cell r="A70" t="str">
            <v>GERENCIA LOCAL ENGATIVA</v>
          </cell>
        </row>
        <row r="71">
          <cell r="A71" t="str">
            <v>GERENCIA LOCAL SUBA</v>
          </cell>
        </row>
        <row r="72">
          <cell r="A72" t="str">
            <v>GERENCIA LOCAL BARRIOS UNIDOS</v>
          </cell>
        </row>
        <row r="73">
          <cell r="A73" t="str">
            <v>GERENCIA LOCAL TEUSAQUILLO</v>
          </cell>
        </row>
        <row r="74">
          <cell r="A74" t="str">
            <v>GERENCIA LOCAL MARTIRES</v>
          </cell>
        </row>
        <row r="75">
          <cell r="A75" t="str">
            <v>GERENCIA LOCAL ANTONIO NARIÑO</v>
          </cell>
        </row>
        <row r="76">
          <cell r="A76" t="str">
            <v>GERENCIA LOCAL PUENTE ARANDA</v>
          </cell>
        </row>
        <row r="77">
          <cell r="A77" t="str">
            <v>GERENCIA LOCAL CANDELARIA</v>
          </cell>
        </row>
        <row r="78">
          <cell r="A78" t="str">
            <v>GERENCIA LOCAL RAFAEL URIBE</v>
          </cell>
        </row>
        <row r="79">
          <cell r="A79" t="str">
            <v>GERENCIA LOCAL CIUDAD BOLIVAR</v>
          </cell>
        </row>
        <row r="80">
          <cell r="A80" t="str">
            <v>GERENCIA LOCAL SUMAPAZ</v>
          </cell>
        </row>
        <row r="81">
          <cell r="A81" t="str">
            <v xml:space="preserve"> OFICINA DE CONTROL INTERNO</v>
          </cell>
        </row>
        <row r="82">
          <cell r="A82" t="str">
            <v>OFICINA DE ASUNTOS DISCIPLINARIOS</v>
          </cell>
        </row>
        <row r="83">
          <cell r="A83" t="str">
            <v>OFICINA ASESORA DE COMUNICACIONES</v>
          </cell>
        </row>
        <row r="84">
          <cell r="A84" t="str">
            <v>OFICINA ASESORA JURÍDICA</v>
          </cell>
        </row>
        <row r="85">
          <cell r="A85" t="str">
            <v>DIRECCIÓN DE REACCIÓN INMEDIATA</v>
          </cell>
        </row>
        <row r="86">
          <cell r="A86" t="str">
            <v>DESPACHO DEL CONTRALOR AUXILIAR</v>
          </cell>
        </row>
        <row r="87">
          <cell r="A87" t="str">
            <v>DIRECCIÓN DE PLANEACIÓN</v>
          </cell>
        </row>
        <row r="88">
          <cell r="A88" t="str">
            <v>SUBDIRECCIÓN DE ANÁLISIS, ESTADÍSTICAS E INDICADORES</v>
          </cell>
        </row>
        <row r="89">
          <cell r="A89" t="str">
            <v>DIRECCIÓN DE TECNOLOGÍAS DE LA INFORMACIÓN Y LAS COMUNICACIONES</v>
          </cell>
        </row>
        <row r="90">
          <cell r="A90" t="str">
            <v>DIRECCIÓN ADMINISTRATIVA Y FINANCIERA</v>
          </cell>
        </row>
        <row r="91">
          <cell r="A91" t="str">
            <v>SUBDIRECCIÓN FINANCIERA</v>
          </cell>
        </row>
        <row r="92">
          <cell r="A92" t="str">
            <v>ÁREA DE CONTABILIDAD</v>
          </cell>
        </row>
        <row r="93">
          <cell r="A93" t="str">
            <v xml:space="preserve"> ÁREA DE PRESUPUESTO</v>
          </cell>
        </row>
        <row r="94">
          <cell r="A94" t="str">
            <v>ÁREA DE TESORERÍA</v>
          </cell>
        </row>
        <row r="95">
          <cell r="A95" t="str">
            <v>SUBDIRECCIÓN DE SERVICIOS GENERALES</v>
          </cell>
        </row>
        <row r="96">
          <cell r="A96" t="str">
            <v>ÁREA DE ARCHIVO Y CORRESPONDENCIA</v>
          </cell>
        </row>
        <row r="97">
          <cell r="A97" t="str">
            <v>ÁREA DE TRANSPORTE</v>
          </cell>
        </row>
        <row r="98">
          <cell r="A98" t="str">
            <v>SUBDIRECCIÓN DE RECURSOS MATERIALES</v>
          </cell>
        </row>
        <row r="99">
          <cell r="A99" t="str">
            <v>ÁREA DE ALMACÉN</v>
          </cell>
        </row>
        <row r="100">
          <cell r="A100" t="str">
            <v>ÁREA DE INVENTARIOS</v>
          </cell>
        </row>
        <row r="101">
          <cell r="A101" t="str">
            <v>SUBDIRECCIÓN DE CONTRATACIÓN</v>
          </cell>
        </row>
        <row r="102">
          <cell r="A102" t="str">
            <v>DIRECCIÓN TALENTO HUMANO</v>
          </cell>
        </row>
        <row r="103">
          <cell r="A103" t="str">
            <v>SUBDIRECCIÓN DE BIENESTAR SOCIAL</v>
          </cell>
        </row>
        <row r="104">
          <cell r="A104" t="str">
            <v>GRUPO TÉCNICO DE SALUD OCUPACIONAL, SEGURIDAD INDUSTRIAL Y MEDIO AMBIENTE LABORAL</v>
          </cell>
        </row>
        <row r="105">
          <cell r="A105" t="str">
            <v xml:space="preserve"> SUBDIRECCIÓN DE GESTIÓN DEL TALENTO HUMANO</v>
          </cell>
        </row>
        <row r="106">
          <cell r="A106" t="str">
            <v>SUBDIRECCIÓN DE CARRERA ADMINISTRATIVA</v>
          </cell>
        </row>
        <row r="107">
          <cell r="A107" t="str">
            <v>SUBDIRECCIÓN DE CAPACITACIÓN Y COOPERACIÓN TÉCNICA</v>
          </cell>
        </row>
        <row r="108">
          <cell r="A108" t="str">
            <v>DIRECCIÓN SECTOR MOVILIDAD</v>
          </cell>
        </row>
        <row r="109">
          <cell r="A109" t="str">
            <v>SUBDIRECCIÓN DE FISCALIZACIÓN MOVILIDAD</v>
          </cell>
        </row>
        <row r="110">
          <cell r="A110" t="str">
            <v>SUBDIRECCIÓN DE FISCALIZACIÓN INFRAESTRUCTURA</v>
          </cell>
        </row>
        <row r="111">
          <cell r="A111" t="str">
            <v>DIRECCIÓN SECTOR DESARROLLO ECONÓMICO, INDUSTRIA Y TURISMO</v>
          </cell>
        </row>
        <row r="112">
          <cell r="A112" t="str">
            <v xml:space="preserve"> DIRECCIÓN SECTOR SALUD</v>
          </cell>
        </row>
        <row r="113">
          <cell r="A113" t="str">
            <v xml:space="preserve"> DIRECCIÓN SECTOR GOBIERNO</v>
          </cell>
        </row>
        <row r="114">
          <cell r="A114" t="str">
            <v>SUBDIRECCIÓN DE FISCALIZACIÓN GESTIÓN PÚBLICA Y EQUIDAD DE GENERO</v>
          </cell>
        </row>
        <row r="115">
          <cell r="A115" t="str">
            <v>SUBDIRECCIÓN DE FISCALIZACIÓN GOBIERNO, SEGURIDAD Y CONVIVENCIA</v>
          </cell>
        </row>
        <row r="116">
          <cell r="A116" t="str">
            <v>DIRECCIÓN SECTOR HÁBITAT Y AMBIENTE</v>
          </cell>
        </row>
        <row r="117">
          <cell r="A117" t="str">
            <v>SUBDIRECCIÓN DE FISCALIZACIÓN CONTROL URBANO</v>
          </cell>
        </row>
        <row r="118">
          <cell r="A118" t="str">
            <v>SUBDIRECCIÓN DE FISCALIZACIÓN HÁBITAT</v>
          </cell>
        </row>
        <row r="119">
          <cell r="A119" t="str">
            <v>UBDIRECCIÓN DE FISCALIZACIÓN AMBIENTE</v>
          </cell>
        </row>
        <row r="120">
          <cell r="A120" t="str">
            <v>DIRECCIÓN SECTOR EDUCACIÓN, CULTURA, RECREACIÓN Y DEPORTE</v>
          </cell>
        </row>
        <row r="121">
          <cell r="A121" t="str">
            <v>SUBDIRECCIÓN DE FISCALIZACIÓN CULTURA, RECREACIÓN Y DEPORTE</v>
          </cell>
        </row>
        <row r="122">
          <cell r="A122" t="str">
            <v>SUBDIRECCIÓN DE FISCALIZACIÓN EDUCACIÓN</v>
          </cell>
        </row>
        <row r="123">
          <cell r="A123" t="str">
            <v>DIRECCIÓN SECTOR HACIENDA</v>
          </cell>
        </row>
        <row r="124">
          <cell r="A124" t="str">
            <v>DIRECCIÓN DE ESTUDIOS DE ECONOMÍA Y POLÍTICA PÚBLICA</v>
          </cell>
        </row>
        <row r="125">
          <cell r="A125" t="str">
            <v>SUBDIRECCIÓN DE EVALUACIÓN DE POLÍTICAS PÚBLICAS</v>
          </cell>
        </row>
        <row r="126">
          <cell r="A126" t="str">
            <v>SUBDIRECCIÓN DE ESTUDIOS ECONÓMICOS Y FISCALES</v>
          </cell>
        </row>
        <row r="127">
          <cell r="A127" t="str">
            <v>SUBDIRECCIÓN DE ESTADÍSTICAS Y ANÁLISIS PRESUPUESTAL Y FINANCIERO</v>
          </cell>
        </row>
        <row r="128">
          <cell r="A128" t="str">
            <v>DIRECCIÓN DE RESPONSABILIDAD FISCAL Y JURISDICCIÓN COACTIVA</v>
          </cell>
        </row>
        <row r="129">
          <cell r="A129" t="str">
            <v>SUBDIRECCIÓN DEL PROCESO DE RESPONSABILIDAD FISCAL</v>
          </cell>
        </row>
        <row r="130">
          <cell r="A130" t="str">
            <v>SUBDIRECCIÓN DE JURISDICCIÓN COACTIVA</v>
          </cell>
        </row>
        <row r="131">
          <cell r="A131" t="str">
            <v xml:space="preserve"> DIRECCIÓN SECTOR DESARROLLO ECONÓMICO, INDUSTRIA Y TURISMO</v>
          </cell>
        </row>
        <row r="132">
          <cell r="A132" t="str">
            <v>DIRECCIÓN SECTOR INTEGRACIÓN SOCIAL</v>
          </cell>
        </row>
        <row r="133">
          <cell r="A133" t="str">
            <v>DIRECCIÓN SECTOR SERVICIOS PÚBLICOS</v>
          </cell>
        </row>
        <row r="134">
          <cell r="A134" t="str">
            <v>SUBDIRECCIÓN DE FISCALIZACIÓN</v>
          </cell>
        </row>
        <row r="135">
          <cell r="A135" t="str">
            <v>SUBDIRECCIÓN DE FISCALIZACIÓN</v>
          </cell>
        </row>
        <row r="136">
          <cell r="A136" t="str">
            <v>SUBDIRECCIÓN DE FISCALIZACIÓN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D679"/>
  <sheetViews>
    <sheetView zoomScale="78" workbookViewId="0">
      <selection activeCell="F5" sqref="F5"/>
    </sheetView>
  </sheetViews>
  <sheetFormatPr baseColWidth="10" defaultColWidth="11.28515625" defaultRowHeight="12.75" x14ac:dyDescent="0.2"/>
  <cols>
    <col min="1" max="12" width="11.28515625" customWidth="1"/>
    <col min="13" max="30" width="11.28515625" style="1" customWidth="1"/>
  </cols>
  <sheetData>
    <row r="1" spans="1:30" ht="20.25" x14ac:dyDescent="0.3">
      <c r="A1" s="16" t="s">
        <v>12</v>
      </c>
      <c r="B1" s="1"/>
      <c r="C1" s="1"/>
      <c r="D1" s="1"/>
      <c r="E1" s="1"/>
      <c r="F1" s="1"/>
      <c r="G1" s="1"/>
      <c r="H1" s="1"/>
      <c r="I1" s="1"/>
      <c r="J1" s="1"/>
      <c r="K1" s="1"/>
      <c r="L1" s="3" t="s">
        <v>1</v>
      </c>
      <c r="R1" s="9" t="s">
        <v>4</v>
      </c>
      <c r="S1" s="1" t="e">
        <f>+ROW(#REF!)</f>
        <v>#REF!</v>
      </c>
    </row>
    <row r="2" spans="1:30" x14ac:dyDescent="0.2">
      <c r="A2" s="1"/>
      <c r="B2" s="1"/>
      <c r="C2" s="1"/>
      <c r="D2" s="1"/>
      <c r="E2" s="1"/>
      <c r="F2" s="1"/>
      <c r="G2" s="1"/>
      <c r="H2" s="1"/>
      <c r="I2" s="1"/>
      <c r="J2" s="1"/>
      <c r="K2" s="1"/>
      <c r="L2" s="1"/>
      <c r="R2" s="1" t="s">
        <v>7</v>
      </c>
      <c r="S2" s="10" t="e">
        <f ca="1">+(YEAR(TODAY())-YEAR("1/1/2003"))*12+MONTH(TODAY())+S4-12</f>
        <v>#REF!</v>
      </c>
      <c r="T2" s="10" t="e">
        <f t="shared" ref="T2:AD2" ca="1" si="0">+S2+1</f>
        <v>#REF!</v>
      </c>
      <c r="U2" s="10" t="e">
        <f t="shared" ca="1" si="0"/>
        <v>#REF!</v>
      </c>
      <c r="V2" s="10" t="e">
        <f t="shared" ca="1" si="0"/>
        <v>#REF!</v>
      </c>
      <c r="W2" s="10" t="e">
        <f t="shared" ca="1" si="0"/>
        <v>#REF!</v>
      </c>
      <c r="X2" s="10" t="e">
        <f t="shared" ca="1" si="0"/>
        <v>#REF!</v>
      </c>
      <c r="Y2" s="10" t="e">
        <f t="shared" ca="1" si="0"/>
        <v>#REF!</v>
      </c>
      <c r="Z2" s="10" t="e">
        <f t="shared" ca="1" si="0"/>
        <v>#REF!</v>
      </c>
      <c r="AA2" s="10" t="e">
        <f t="shared" ca="1" si="0"/>
        <v>#REF!</v>
      </c>
      <c r="AB2" s="10" t="e">
        <f t="shared" ca="1" si="0"/>
        <v>#REF!</v>
      </c>
      <c r="AC2" s="10" t="e">
        <f t="shared" ca="1" si="0"/>
        <v>#REF!</v>
      </c>
      <c r="AD2" s="10" t="e">
        <f t="shared" ca="1" si="0"/>
        <v>#REF!</v>
      </c>
    </row>
    <row r="3" spans="1:30" x14ac:dyDescent="0.2">
      <c r="A3" s="1"/>
      <c r="B3" s="1"/>
      <c r="C3" s="1"/>
      <c r="D3" s="1"/>
      <c r="E3" s="1"/>
      <c r="F3" s="1"/>
      <c r="G3" s="1"/>
      <c r="H3" s="1"/>
      <c r="I3" s="1"/>
      <c r="J3" s="1"/>
      <c r="K3" s="1"/>
      <c r="L3" s="1"/>
      <c r="R3" s="1" t="s">
        <v>5</v>
      </c>
      <c r="S3" s="1" t="e">
        <f>+ROW(#REF!)</f>
        <v>#REF!</v>
      </c>
    </row>
    <row r="4" spans="1:30" x14ac:dyDescent="0.2">
      <c r="A4" s="1"/>
      <c r="B4" s="1"/>
      <c r="C4" s="1"/>
      <c r="D4" s="1"/>
      <c r="E4" s="1"/>
      <c r="F4" s="1"/>
      <c r="G4" s="1"/>
      <c r="H4" s="1"/>
      <c r="I4" s="1"/>
      <c r="J4" s="1"/>
      <c r="K4" s="1"/>
      <c r="L4" s="1"/>
      <c r="R4" s="9" t="s">
        <v>6</v>
      </c>
      <c r="S4" s="1" t="e">
        <f>+COLUMN(#REF!)-1</f>
        <v>#REF!</v>
      </c>
    </row>
    <row r="5" spans="1:30" x14ac:dyDescent="0.2">
      <c r="A5" s="7" t="s">
        <v>2</v>
      </c>
      <c r="B5" s="1"/>
      <c r="C5" s="8">
        <f ca="1">+TODAY()</f>
        <v>43145</v>
      </c>
      <c r="D5" s="1"/>
      <c r="E5" s="1"/>
      <c r="F5" s="1"/>
      <c r="G5" s="1"/>
      <c r="H5" s="1"/>
      <c r="I5" s="1"/>
      <c r="J5" s="1"/>
      <c r="K5" s="1"/>
      <c r="L5" s="1"/>
    </row>
    <row r="6" spans="1:30" x14ac:dyDescent="0.2">
      <c r="A6" s="1"/>
      <c r="B6" s="1"/>
      <c r="C6" s="1"/>
      <c r="D6" s="1"/>
      <c r="E6" s="1"/>
      <c r="F6" s="1"/>
      <c r="G6" s="1"/>
      <c r="H6" s="1"/>
      <c r="I6" s="1"/>
      <c r="J6" s="1"/>
      <c r="K6" s="1"/>
      <c r="L6" s="1"/>
      <c r="N6" s="2"/>
      <c r="O6" s="2"/>
      <c r="P6" s="2"/>
      <c r="Q6" s="2"/>
    </row>
    <row r="7" spans="1:30" x14ac:dyDescent="0.2">
      <c r="A7" s="1" t="s">
        <v>3</v>
      </c>
      <c r="B7" s="1"/>
      <c r="C7" s="1"/>
      <c r="D7" s="1"/>
      <c r="E7" s="1"/>
      <c r="F7" s="1"/>
      <c r="G7" s="1"/>
      <c r="H7" s="1"/>
      <c r="I7" s="1"/>
      <c r="J7" s="1"/>
      <c r="K7" s="1"/>
      <c r="L7" s="1"/>
      <c r="N7" s="2"/>
      <c r="O7" s="2"/>
      <c r="P7" s="2"/>
      <c r="Q7" s="2"/>
    </row>
    <row r="8" spans="1:30" s="12" customFormat="1" x14ac:dyDescent="0.2">
      <c r="A8" s="5" t="s">
        <v>8</v>
      </c>
      <c r="B8" s="4" t="e">
        <f t="shared" ref="B8:M8" ca="1" si="1">INDIRECT(ADDRESS($S$3,S2,1,,"Tablero"))</f>
        <v>#REF!</v>
      </c>
      <c r="C8" s="4" t="e">
        <f t="shared" ca="1" si="1"/>
        <v>#REF!</v>
      </c>
      <c r="D8" s="4" t="e">
        <f t="shared" ca="1" si="1"/>
        <v>#REF!</v>
      </c>
      <c r="E8" s="4" t="e">
        <f t="shared" ca="1" si="1"/>
        <v>#REF!</v>
      </c>
      <c r="F8" s="4" t="e">
        <f t="shared" ca="1" si="1"/>
        <v>#REF!</v>
      </c>
      <c r="G8" s="4" t="e">
        <f t="shared" ca="1" si="1"/>
        <v>#REF!</v>
      </c>
      <c r="H8" s="4" t="e">
        <f t="shared" ca="1" si="1"/>
        <v>#REF!</v>
      </c>
      <c r="I8" s="4" t="e">
        <f t="shared" ca="1" si="1"/>
        <v>#REF!</v>
      </c>
      <c r="J8" s="4" t="e">
        <f t="shared" ca="1" si="1"/>
        <v>#REF!</v>
      </c>
      <c r="K8" s="4" t="e">
        <f t="shared" ca="1" si="1"/>
        <v>#REF!</v>
      </c>
      <c r="L8" s="4" t="e">
        <f t="shared" ca="1" si="1"/>
        <v>#REF!</v>
      </c>
      <c r="M8" s="4" t="e">
        <f t="shared" ca="1" si="1"/>
        <v>#REF!</v>
      </c>
      <c r="N8" s="6"/>
      <c r="O8" s="6"/>
      <c r="P8" s="6"/>
      <c r="Q8" s="6"/>
      <c r="R8" s="11"/>
      <c r="S8" s="11"/>
      <c r="T8" s="11"/>
      <c r="U8" s="11"/>
      <c r="V8" s="11"/>
      <c r="W8" s="11"/>
      <c r="X8" s="11"/>
      <c r="Y8" s="11"/>
      <c r="Z8" s="11"/>
      <c r="AA8" s="11"/>
      <c r="AB8" s="11"/>
      <c r="AC8" s="11"/>
      <c r="AD8" s="11"/>
    </row>
    <row r="9" spans="1:30" s="12" customFormat="1" x14ac:dyDescent="0.2">
      <c r="A9" s="5" t="s">
        <v>9</v>
      </c>
      <c r="B9" s="13" t="e">
        <f t="shared" ref="B9:M9" ca="1" si="2">INDIRECT(ADDRESS($S$1,S2,1,,"Tablero"))</f>
        <v>#REF!</v>
      </c>
      <c r="C9" s="13" t="e">
        <f t="shared" ca="1" si="2"/>
        <v>#REF!</v>
      </c>
      <c r="D9" s="13" t="e">
        <f t="shared" ca="1" si="2"/>
        <v>#REF!</v>
      </c>
      <c r="E9" s="13" t="e">
        <f t="shared" ca="1" si="2"/>
        <v>#REF!</v>
      </c>
      <c r="F9" s="13" t="e">
        <f t="shared" ca="1" si="2"/>
        <v>#REF!</v>
      </c>
      <c r="G9" s="13" t="e">
        <f t="shared" ca="1" si="2"/>
        <v>#REF!</v>
      </c>
      <c r="H9" s="13" t="e">
        <f t="shared" ca="1" si="2"/>
        <v>#REF!</v>
      </c>
      <c r="I9" s="13" t="e">
        <f t="shared" ca="1" si="2"/>
        <v>#REF!</v>
      </c>
      <c r="J9" s="13" t="e">
        <f t="shared" ca="1" si="2"/>
        <v>#REF!</v>
      </c>
      <c r="K9" s="13" t="e">
        <f t="shared" ca="1" si="2"/>
        <v>#REF!</v>
      </c>
      <c r="L9" s="13" t="e">
        <f t="shared" ca="1" si="2"/>
        <v>#REF!</v>
      </c>
      <c r="M9" s="13" t="e">
        <f t="shared" ca="1" si="2"/>
        <v>#REF!</v>
      </c>
      <c r="N9" s="6"/>
      <c r="O9" s="6"/>
      <c r="P9" s="6"/>
      <c r="Q9" s="6"/>
      <c r="R9" s="11"/>
      <c r="S9" s="11"/>
      <c r="T9" s="11"/>
      <c r="U9" s="11"/>
      <c r="V9" s="11"/>
      <c r="W9" s="11"/>
      <c r="X9" s="11"/>
      <c r="Y9" s="11"/>
      <c r="Z9" s="11"/>
      <c r="AA9" s="11"/>
      <c r="AB9" s="11"/>
      <c r="AC9" s="11"/>
      <c r="AD9" s="11"/>
    </row>
    <row r="10" spans="1:30" x14ac:dyDescent="0.2">
      <c r="A10" s="14" t="s">
        <v>10</v>
      </c>
      <c r="B10" s="17">
        <v>0.6</v>
      </c>
      <c r="C10" s="15">
        <f>+$B$10</f>
        <v>0.6</v>
      </c>
      <c r="D10" s="15">
        <f t="shared" ref="D10:M10" si="3">+$B$10</f>
        <v>0.6</v>
      </c>
      <c r="E10" s="15">
        <f t="shared" si="3"/>
        <v>0.6</v>
      </c>
      <c r="F10" s="15">
        <f t="shared" si="3"/>
        <v>0.6</v>
      </c>
      <c r="G10" s="15">
        <f t="shared" si="3"/>
        <v>0.6</v>
      </c>
      <c r="H10" s="15">
        <f t="shared" si="3"/>
        <v>0.6</v>
      </c>
      <c r="I10" s="15">
        <f t="shared" si="3"/>
        <v>0.6</v>
      </c>
      <c r="J10" s="15">
        <f t="shared" si="3"/>
        <v>0.6</v>
      </c>
      <c r="K10" s="15">
        <f t="shared" si="3"/>
        <v>0.6</v>
      </c>
      <c r="L10" s="15">
        <f t="shared" si="3"/>
        <v>0.6</v>
      </c>
      <c r="M10" s="15">
        <f t="shared" si="3"/>
        <v>0.6</v>
      </c>
      <c r="N10" s="2"/>
      <c r="O10" s="2"/>
      <c r="P10" s="2"/>
      <c r="Q10" s="2"/>
    </row>
    <row r="11" spans="1:30" x14ac:dyDescent="0.2">
      <c r="A11" s="14" t="s">
        <v>11</v>
      </c>
      <c r="B11" s="17">
        <v>0.8</v>
      </c>
      <c r="C11" s="15">
        <f>+$B$11</f>
        <v>0.8</v>
      </c>
      <c r="D11" s="15">
        <f t="shared" ref="D11:M11" si="4">+$B$11</f>
        <v>0.8</v>
      </c>
      <c r="E11" s="15">
        <f t="shared" si="4"/>
        <v>0.8</v>
      </c>
      <c r="F11" s="15">
        <f t="shared" si="4"/>
        <v>0.8</v>
      </c>
      <c r="G11" s="15">
        <f t="shared" si="4"/>
        <v>0.8</v>
      </c>
      <c r="H11" s="15">
        <f t="shared" si="4"/>
        <v>0.8</v>
      </c>
      <c r="I11" s="15">
        <f t="shared" si="4"/>
        <v>0.8</v>
      </c>
      <c r="J11" s="15">
        <f t="shared" si="4"/>
        <v>0.8</v>
      </c>
      <c r="K11" s="15">
        <f t="shared" si="4"/>
        <v>0.8</v>
      </c>
      <c r="L11" s="15">
        <f t="shared" si="4"/>
        <v>0.8</v>
      </c>
      <c r="M11" s="15">
        <f t="shared" si="4"/>
        <v>0.8</v>
      </c>
      <c r="N11" s="2"/>
      <c r="O11" s="2"/>
      <c r="P11" s="2"/>
      <c r="Q11" s="2"/>
    </row>
    <row r="12" spans="1:30" x14ac:dyDescent="0.2">
      <c r="A12" s="1"/>
      <c r="B12" s="1"/>
      <c r="C12" s="1"/>
      <c r="D12" s="1"/>
      <c r="E12" s="1"/>
      <c r="F12" s="1"/>
      <c r="G12" s="1"/>
      <c r="H12" s="1"/>
      <c r="I12" s="1"/>
      <c r="J12" s="1"/>
      <c r="K12" s="1"/>
      <c r="L12" s="1"/>
      <c r="N12" s="2"/>
      <c r="O12" s="2"/>
      <c r="P12" s="2"/>
      <c r="Q12" s="2"/>
    </row>
    <row r="13" spans="1:30" x14ac:dyDescent="0.2">
      <c r="A13" s="1"/>
      <c r="B13" s="1"/>
      <c r="C13" s="1"/>
      <c r="D13" s="1"/>
      <c r="E13" s="1"/>
      <c r="F13" s="1"/>
      <c r="G13" s="1"/>
      <c r="H13" s="1"/>
      <c r="I13" s="1"/>
      <c r="J13" s="1"/>
      <c r="K13" s="1"/>
      <c r="L13" s="1"/>
      <c r="N13" s="2"/>
      <c r="O13" s="2"/>
      <c r="P13" s="2"/>
      <c r="Q13" s="2"/>
    </row>
    <row r="14" spans="1:30" x14ac:dyDescent="0.2">
      <c r="A14" s="1"/>
      <c r="B14" s="1"/>
      <c r="C14" s="1"/>
      <c r="D14" s="1"/>
      <c r="E14" s="1"/>
      <c r="F14" s="1"/>
      <c r="G14" s="1"/>
      <c r="H14" s="1"/>
      <c r="I14" s="1"/>
      <c r="J14" s="1"/>
      <c r="K14" s="1"/>
      <c r="L14" s="1"/>
      <c r="N14" s="2"/>
      <c r="O14" s="2"/>
      <c r="P14" s="2"/>
      <c r="Q14" s="2"/>
    </row>
    <row r="15" spans="1:30" ht="13.5" customHeight="1" x14ac:dyDescent="0.2">
      <c r="A15" s="1"/>
      <c r="B15" s="1"/>
      <c r="C15" s="1"/>
      <c r="D15" s="1"/>
      <c r="E15" s="1"/>
      <c r="F15" s="1"/>
      <c r="G15" s="1"/>
      <c r="H15" s="1"/>
      <c r="I15" s="1"/>
      <c r="J15" s="1"/>
      <c r="K15" s="1"/>
      <c r="L15" s="1"/>
      <c r="N15" s="2"/>
      <c r="O15" s="2"/>
      <c r="P15" s="2"/>
      <c r="Q15" s="2"/>
    </row>
    <row r="16" spans="1:30" x14ac:dyDescent="0.2">
      <c r="A16" s="1"/>
      <c r="B16" s="1"/>
      <c r="C16" s="1"/>
      <c r="D16" s="1"/>
      <c r="E16" s="1"/>
      <c r="F16" s="1"/>
      <c r="G16" s="1"/>
      <c r="H16" s="1"/>
      <c r="I16" s="1"/>
      <c r="J16" s="1"/>
      <c r="K16" s="1"/>
      <c r="L16" s="1"/>
      <c r="N16" s="2"/>
      <c r="O16" s="2"/>
      <c r="P16" s="2"/>
      <c r="Q16" s="2"/>
    </row>
    <row r="17" spans="1:17" x14ac:dyDescent="0.2">
      <c r="A17" s="1"/>
      <c r="B17" s="1"/>
      <c r="C17" s="1"/>
      <c r="D17" s="1"/>
      <c r="E17" s="1"/>
      <c r="F17" s="1"/>
      <c r="G17" s="1"/>
      <c r="H17" s="1"/>
      <c r="I17" s="1"/>
      <c r="J17" s="1"/>
      <c r="K17" s="1"/>
      <c r="L17" s="1"/>
      <c r="N17" s="2"/>
      <c r="O17" s="2"/>
      <c r="P17" s="2"/>
      <c r="Q17" s="2"/>
    </row>
    <row r="18" spans="1:17" x14ac:dyDescent="0.2">
      <c r="A18" s="1"/>
      <c r="B18" s="1"/>
      <c r="C18" s="1"/>
      <c r="D18" s="1"/>
      <c r="E18" s="1"/>
      <c r="F18" s="1"/>
      <c r="G18" s="1"/>
      <c r="H18" s="1"/>
      <c r="I18" s="1"/>
      <c r="J18" s="1"/>
      <c r="K18" s="1"/>
      <c r="L18" s="1"/>
      <c r="N18" s="2"/>
      <c r="O18" s="2"/>
      <c r="P18" s="2"/>
      <c r="Q18" s="2"/>
    </row>
    <row r="19" spans="1:17" x14ac:dyDescent="0.2">
      <c r="A19" s="1"/>
      <c r="B19" s="1"/>
      <c r="C19" s="1"/>
      <c r="D19" s="1"/>
      <c r="E19" s="1"/>
      <c r="F19" s="1"/>
      <c r="G19" s="1"/>
      <c r="H19" s="1"/>
      <c r="I19" s="1"/>
      <c r="J19" s="1"/>
      <c r="K19" s="1"/>
      <c r="L19" s="1"/>
      <c r="N19" s="2"/>
      <c r="O19" s="2"/>
      <c r="P19" s="2"/>
      <c r="Q19" s="2"/>
    </row>
    <row r="20" spans="1:17" x14ac:dyDescent="0.2">
      <c r="A20" s="1"/>
      <c r="B20" s="1"/>
      <c r="C20" s="1"/>
      <c r="D20" s="1"/>
      <c r="E20" s="1"/>
      <c r="F20" s="1"/>
      <c r="G20" s="1"/>
      <c r="H20" s="1"/>
      <c r="I20" s="1"/>
      <c r="J20" s="1"/>
      <c r="K20" s="1"/>
      <c r="L20" s="1"/>
      <c r="N20" s="2"/>
      <c r="O20" s="2"/>
      <c r="P20" s="2"/>
      <c r="Q20" s="2"/>
    </row>
    <row r="21" spans="1:17" x14ac:dyDescent="0.2">
      <c r="A21" s="1"/>
      <c r="B21" s="1"/>
      <c r="C21" s="1"/>
      <c r="D21" s="1"/>
      <c r="E21" s="1"/>
      <c r="F21" s="1"/>
      <c r="G21" s="1"/>
      <c r="H21" s="1"/>
      <c r="I21" s="1"/>
      <c r="J21" s="1"/>
      <c r="K21" s="1"/>
      <c r="L21" s="1"/>
    </row>
    <row r="22" spans="1:17" x14ac:dyDescent="0.2">
      <c r="A22" s="1"/>
      <c r="B22" s="1"/>
      <c r="C22" s="1"/>
      <c r="D22" s="1"/>
      <c r="E22" s="1"/>
      <c r="F22" s="1"/>
      <c r="G22" s="1"/>
      <c r="H22" s="1"/>
      <c r="I22" s="1"/>
      <c r="J22" s="1"/>
      <c r="K22" s="1"/>
      <c r="L22" s="1"/>
    </row>
    <row r="23" spans="1:17" x14ac:dyDescent="0.2">
      <c r="A23" s="1"/>
      <c r="B23" s="1"/>
      <c r="C23" s="1"/>
      <c r="D23" s="1"/>
      <c r="E23" s="1"/>
      <c r="F23" s="1"/>
      <c r="G23" s="1"/>
      <c r="H23" s="1"/>
      <c r="I23" s="1"/>
      <c r="J23" s="1"/>
      <c r="K23" s="1"/>
      <c r="L23" s="1"/>
    </row>
    <row r="24" spans="1:17" s="2" customFormat="1" x14ac:dyDescent="0.2"/>
    <row r="25" spans="1:17" s="2" customFormat="1" x14ac:dyDescent="0.2"/>
    <row r="26" spans="1:17" s="2" customFormat="1" x14ac:dyDescent="0.2"/>
    <row r="27" spans="1:17" s="2" customFormat="1" x14ac:dyDescent="0.2"/>
    <row r="28" spans="1:17" s="2" customFormat="1" x14ac:dyDescent="0.2"/>
    <row r="29" spans="1:17" s="2" customFormat="1" x14ac:dyDescent="0.2"/>
    <row r="30" spans="1:17" s="2" customFormat="1" x14ac:dyDescent="0.2"/>
    <row r="31" spans="1:17" s="2" customFormat="1" x14ac:dyDescent="0.2"/>
    <row r="32" spans="1:17" s="2" customFormat="1" x14ac:dyDescent="0.2"/>
    <row r="33" spans="1:1" s="2" customFormat="1" x14ac:dyDescent="0.2"/>
    <row r="34" spans="1:1" s="2" customFormat="1" x14ac:dyDescent="0.2"/>
    <row r="35" spans="1:1" s="1" customFormat="1" x14ac:dyDescent="0.2"/>
    <row r="36" spans="1:1" s="1" customFormat="1" x14ac:dyDescent="0.2">
      <c r="A36" s="18" t="s">
        <v>13</v>
      </c>
    </row>
    <row r="37" spans="1:1" s="1" customFormat="1" x14ac:dyDescent="0.2"/>
    <row r="38" spans="1:1" s="1" customFormat="1" x14ac:dyDescent="0.2"/>
    <row r="39" spans="1:1" s="1" customFormat="1" x14ac:dyDescent="0.2"/>
    <row r="40" spans="1:1" s="1" customFormat="1" x14ac:dyDescent="0.2"/>
    <row r="41" spans="1:1" s="1" customFormat="1" x14ac:dyDescent="0.2"/>
    <row r="42" spans="1:1" s="1" customFormat="1" x14ac:dyDescent="0.2"/>
    <row r="43" spans="1:1" s="1" customFormat="1" x14ac:dyDescent="0.2"/>
    <row r="44" spans="1:1" s="1" customFormat="1" x14ac:dyDescent="0.2"/>
    <row r="45" spans="1:1" s="1" customFormat="1" x14ac:dyDescent="0.2"/>
    <row r="46" spans="1:1" s="1" customFormat="1" x14ac:dyDescent="0.2"/>
    <row r="47" spans="1:1" s="1" customFormat="1" x14ac:dyDescent="0.2"/>
    <row r="48" spans="1:1"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row r="602" s="1" customFormat="1" x14ac:dyDescent="0.2"/>
    <row r="603" s="1" customFormat="1" x14ac:dyDescent="0.2"/>
    <row r="604" s="1" customFormat="1" x14ac:dyDescent="0.2"/>
    <row r="605" s="1" customFormat="1" x14ac:dyDescent="0.2"/>
    <row r="606" s="1" customFormat="1" x14ac:dyDescent="0.2"/>
    <row r="607" s="1" customFormat="1" x14ac:dyDescent="0.2"/>
    <row r="608" s="1" customFormat="1" x14ac:dyDescent="0.2"/>
    <row r="609" s="1" customFormat="1" x14ac:dyDescent="0.2"/>
    <row r="610" s="1" customFormat="1" x14ac:dyDescent="0.2"/>
    <row r="611" s="1" customFormat="1" x14ac:dyDescent="0.2"/>
    <row r="612" s="1" customFormat="1" x14ac:dyDescent="0.2"/>
    <row r="613" s="1" customFormat="1" x14ac:dyDescent="0.2"/>
    <row r="614" s="1" customFormat="1" x14ac:dyDescent="0.2"/>
    <row r="615" s="1" customFormat="1" x14ac:dyDescent="0.2"/>
    <row r="616" s="1" customFormat="1" x14ac:dyDescent="0.2"/>
    <row r="617" s="1" customFormat="1" x14ac:dyDescent="0.2"/>
    <row r="618" s="1" customFormat="1" x14ac:dyDescent="0.2"/>
    <row r="619" s="1" customFormat="1" x14ac:dyDescent="0.2"/>
    <row r="620" s="1" customFormat="1" x14ac:dyDescent="0.2"/>
    <row r="621" s="1" customFormat="1" x14ac:dyDescent="0.2"/>
    <row r="622" s="1" customFormat="1" x14ac:dyDescent="0.2"/>
    <row r="623" s="1" customFormat="1" x14ac:dyDescent="0.2"/>
    <row r="624" s="1" customFormat="1" x14ac:dyDescent="0.2"/>
    <row r="625" s="1" customFormat="1" x14ac:dyDescent="0.2"/>
    <row r="626" s="1" customFormat="1" x14ac:dyDescent="0.2"/>
    <row r="627" s="1" customFormat="1" x14ac:dyDescent="0.2"/>
    <row r="628" s="1" customFormat="1" x14ac:dyDescent="0.2"/>
    <row r="629" s="1" customFormat="1" x14ac:dyDescent="0.2"/>
    <row r="630" s="1" customFormat="1" x14ac:dyDescent="0.2"/>
    <row r="631" s="1" customFormat="1" x14ac:dyDescent="0.2"/>
    <row r="632" s="1" customFormat="1" x14ac:dyDescent="0.2"/>
    <row r="633" s="1" customFormat="1" x14ac:dyDescent="0.2"/>
    <row r="634" s="1" customFormat="1" x14ac:dyDescent="0.2"/>
    <row r="635" s="1" customFormat="1" x14ac:dyDescent="0.2"/>
    <row r="636" s="1" customFormat="1" x14ac:dyDescent="0.2"/>
    <row r="637" s="1" customFormat="1" x14ac:dyDescent="0.2"/>
    <row r="638" s="1" customFormat="1" x14ac:dyDescent="0.2"/>
    <row r="639" s="1" customFormat="1" x14ac:dyDescent="0.2"/>
    <row r="640" s="1" customFormat="1" x14ac:dyDescent="0.2"/>
    <row r="641" s="1" customFormat="1" x14ac:dyDescent="0.2"/>
    <row r="642" s="1" customFormat="1" x14ac:dyDescent="0.2"/>
    <row r="643" s="1" customFormat="1" x14ac:dyDescent="0.2"/>
    <row r="644" s="1" customFormat="1" x14ac:dyDescent="0.2"/>
    <row r="645" s="1" customFormat="1" x14ac:dyDescent="0.2"/>
    <row r="646" s="1" customFormat="1" x14ac:dyDescent="0.2"/>
    <row r="647" s="1" customFormat="1" x14ac:dyDescent="0.2"/>
    <row r="648" s="1" customFormat="1" x14ac:dyDescent="0.2"/>
    <row r="649" s="1" customFormat="1" x14ac:dyDescent="0.2"/>
    <row r="650" s="1" customFormat="1" x14ac:dyDescent="0.2"/>
    <row r="651" s="1" customFormat="1" x14ac:dyDescent="0.2"/>
    <row r="652" s="1" customFormat="1" x14ac:dyDescent="0.2"/>
    <row r="653" s="1" customFormat="1" x14ac:dyDescent="0.2"/>
    <row r="654" s="1" customFormat="1" x14ac:dyDescent="0.2"/>
    <row r="655" s="1" customFormat="1" x14ac:dyDescent="0.2"/>
    <row r="656" s="1" customFormat="1" x14ac:dyDescent="0.2"/>
    <row r="657" s="1" customFormat="1" x14ac:dyDescent="0.2"/>
    <row r="658" s="1" customFormat="1" x14ac:dyDescent="0.2"/>
    <row r="659" s="1" customFormat="1" x14ac:dyDescent="0.2"/>
    <row r="660" s="1" customFormat="1" x14ac:dyDescent="0.2"/>
    <row r="661" s="1" customFormat="1" x14ac:dyDescent="0.2"/>
    <row r="662" s="1" customFormat="1" x14ac:dyDescent="0.2"/>
    <row r="663" s="1" customFormat="1" x14ac:dyDescent="0.2"/>
    <row r="664" s="1" customFormat="1" x14ac:dyDescent="0.2"/>
    <row r="665" s="1" customFormat="1" x14ac:dyDescent="0.2"/>
    <row r="666" s="1" customFormat="1" x14ac:dyDescent="0.2"/>
    <row r="667" s="1" customFormat="1" x14ac:dyDescent="0.2"/>
    <row r="668" s="1" customFormat="1" x14ac:dyDescent="0.2"/>
    <row r="669" s="1" customFormat="1" x14ac:dyDescent="0.2"/>
    <row r="670" s="1" customFormat="1" x14ac:dyDescent="0.2"/>
    <row r="671" s="1" customFormat="1" x14ac:dyDescent="0.2"/>
    <row r="672" s="1" customFormat="1" x14ac:dyDescent="0.2"/>
    <row r="673" s="1" customFormat="1" x14ac:dyDescent="0.2"/>
    <row r="674" s="1" customFormat="1" x14ac:dyDescent="0.2"/>
    <row r="675" s="1" customFormat="1" x14ac:dyDescent="0.2"/>
    <row r="676" s="1" customFormat="1" x14ac:dyDescent="0.2"/>
    <row r="677" s="1" customFormat="1" x14ac:dyDescent="0.2"/>
    <row r="678" s="1" customFormat="1" x14ac:dyDescent="0.2"/>
    <row r="679" s="1" customFormat="1" x14ac:dyDescent="0.2"/>
  </sheetData>
  <phoneticPr fontId="3" type="noConversion"/>
  <hyperlinks>
    <hyperlink ref="L1" location="'Indice Indicadores'!A1" display="INDICE DE INDICADORES"/>
  </hyperlinks>
  <printOptions horizontalCentered="1" verticalCentered="1"/>
  <pageMargins left="0.59055118110236227" right="0.59055118110236227" top="0.59055118110236227" bottom="0.59055118110236227" header="0" footer="0"/>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BF115"/>
  <sheetViews>
    <sheetView tabSelected="1" view="pageBreakPreview" zoomScale="87" zoomScaleNormal="100" zoomScaleSheetLayoutView="87" workbookViewId="0">
      <selection activeCell="AM17" sqref="AM17"/>
    </sheetView>
  </sheetViews>
  <sheetFormatPr baseColWidth="10" defaultRowHeight="85.5" customHeight="1" x14ac:dyDescent="0.2"/>
  <cols>
    <col min="1" max="1" width="4.5703125" style="26" customWidth="1"/>
    <col min="2" max="2" width="5" style="20" customWidth="1"/>
    <col min="3" max="3" width="4.5703125" style="20" customWidth="1"/>
    <col min="4" max="4" width="12.140625" style="20" customWidth="1"/>
    <col min="5" max="5" width="13.5703125" style="20" bestFit="1" customWidth="1"/>
    <col min="6" max="6" width="20.28515625" style="20" customWidth="1"/>
    <col min="7" max="7" width="11" style="20" customWidth="1"/>
    <col min="8" max="8" width="10.5703125" style="20" customWidth="1"/>
    <col min="9" max="9" width="21.140625" style="20" customWidth="1"/>
    <col min="10" max="11" width="21" style="20" customWidth="1"/>
    <col min="12" max="12" width="9" style="20" customWidth="1"/>
    <col min="13" max="13" width="6.85546875" style="20" customWidth="1"/>
    <col min="14" max="14" width="6.5703125" style="26" customWidth="1"/>
    <col min="15" max="15" width="6.140625" style="26" customWidth="1"/>
    <col min="16" max="16" width="6.28515625" style="26" customWidth="1"/>
    <col min="17" max="17" width="6" style="26" customWidth="1"/>
    <col min="18" max="18" width="6.5703125" style="27" customWidth="1"/>
    <col min="19" max="20" width="7.140625" style="27" customWidth="1"/>
    <col min="21" max="21" width="7.5703125" style="27" customWidth="1"/>
    <col min="22" max="29" width="7.140625" style="27" customWidth="1"/>
    <col min="30" max="30" width="8" style="27" customWidth="1"/>
    <col min="31" max="31" width="10.7109375" style="27" customWidth="1"/>
    <col min="32" max="32" width="12.42578125" style="20" customWidth="1"/>
    <col min="33" max="33" width="56.140625" style="259" customWidth="1"/>
    <col min="34" max="34" width="5.7109375" style="20" customWidth="1"/>
    <col min="35" max="37" width="13.28515625" style="20" customWidth="1"/>
    <col min="38" max="16384" width="11.42578125" style="20"/>
  </cols>
  <sheetData>
    <row r="1" spans="1:57" ht="21" customHeight="1" x14ac:dyDescent="0.2">
      <c r="A1" s="414"/>
      <c r="B1" s="415"/>
      <c r="C1" s="416"/>
      <c r="D1" s="375" t="s">
        <v>71</v>
      </c>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59" t="s">
        <v>454</v>
      </c>
      <c r="AH1" s="360"/>
      <c r="AI1" s="360"/>
      <c r="AJ1" s="361"/>
      <c r="AK1" s="210"/>
    </row>
    <row r="2" spans="1:57" ht="30.75" customHeight="1" x14ac:dyDescent="0.2">
      <c r="A2" s="417"/>
      <c r="B2" s="418"/>
      <c r="C2" s="419"/>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59" t="s">
        <v>455</v>
      </c>
      <c r="AH2" s="360"/>
      <c r="AI2" s="360"/>
      <c r="AJ2" s="361"/>
      <c r="AK2" s="210"/>
    </row>
    <row r="3" spans="1:57" ht="21" customHeight="1" x14ac:dyDescent="0.2">
      <c r="A3" s="420"/>
      <c r="B3" s="421"/>
      <c r="C3" s="422"/>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59" t="s">
        <v>25</v>
      </c>
      <c r="AH3" s="360"/>
      <c r="AI3" s="360"/>
      <c r="AJ3" s="361"/>
      <c r="AK3" s="210"/>
    </row>
    <row r="4" spans="1:57" s="31" customFormat="1" ht="25.5" customHeight="1" x14ac:dyDescent="0.2">
      <c r="A4" s="430" t="s">
        <v>72</v>
      </c>
      <c r="B4" s="430"/>
      <c r="C4" s="430"/>
      <c r="D4" s="430"/>
      <c r="E4" s="430"/>
      <c r="F4" s="430"/>
      <c r="G4" s="430"/>
      <c r="H4" s="430"/>
      <c r="I4" s="430"/>
      <c r="J4" s="430"/>
      <c r="K4" s="430"/>
      <c r="L4" s="430"/>
      <c r="M4" s="39"/>
      <c r="N4" s="39"/>
      <c r="O4" s="39"/>
      <c r="P4" s="39"/>
      <c r="Q4" s="39"/>
      <c r="R4" s="39"/>
      <c r="S4" s="211"/>
      <c r="T4" s="211"/>
      <c r="U4" s="211"/>
      <c r="V4" s="211"/>
      <c r="W4" s="211"/>
      <c r="X4" s="211"/>
      <c r="Y4" s="211"/>
      <c r="Z4" s="211"/>
      <c r="AA4" s="211"/>
      <c r="AB4" s="211"/>
      <c r="AC4" s="211"/>
      <c r="AD4" s="211"/>
      <c r="AE4" s="211"/>
      <c r="AF4" s="210"/>
      <c r="AG4" s="259"/>
      <c r="AH4" s="210"/>
      <c r="AI4" s="208" t="s">
        <v>35</v>
      </c>
      <c r="AJ4" s="210"/>
      <c r="AK4" s="210"/>
    </row>
    <row r="5" spans="1:57" s="31" customFormat="1" ht="26.25" customHeight="1" x14ac:dyDescent="0.2">
      <c r="A5" s="429" t="s">
        <v>69</v>
      </c>
      <c r="B5" s="429"/>
      <c r="C5" s="429"/>
      <c r="D5" s="429"/>
      <c r="E5" s="429"/>
      <c r="F5" s="429"/>
      <c r="G5" s="429"/>
      <c r="H5" s="429"/>
      <c r="I5" s="429"/>
      <c r="J5" s="429"/>
      <c r="K5" s="429"/>
      <c r="L5" s="429"/>
      <c r="M5" s="34"/>
      <c r="N5" s="34"/>
      <c r="O5" s="34"/>
      <c r="P5" s="34"/>
      <c r="Q5" s="34"/>
      <c r="R5" s="34"/>
      <c r="S5" s="34"/>
      <c r="T5" s="34"/>
      <c r="U5" s="34"/>
      <c r="V5" s="34"/>
      <c r="W5" s="34"/>
      <c r="X5" s="34"/>
      <c r="Y5" s="34"/>
      <c r="Z5" s="34"/>
      <c r="AA5" s="34"/>
      <c r="AB5" s="34"/>
      <c r="AC5" s="34"/>
      <c r="AD5" s="34"/>
      <c r="AE5" s="34"/>
      <c r="AF5" s="34"/>
      <c r="AG5" s="260"/>
      <c r="AH5" s="210"/>
      <c r="AI5" s="35" t="s">
        <v>36</v>
      </c>
      <c r="AJ5" s="210"/>
      <c r="AK5" s="210"/>
    </row>
    <row r="6" spans="1:57" s="31" customFormat="1" ht="18.75" customHeight="1" x14ac:dyDescent="0.2">
      <c r="A6" s="431" t="s">
        <v>17</v>
      </c>
      <c r="B6" s="432"/>
      <c r="C6" s="432"/>
      <c r="D6" s="432"/>
      <c r="E6" s="432"/>
      <c r="F6" s="432"/>
      <c r="G6" s="432"/>
      <c r="H6" s="432"/>
      <c r="I6" s="432"/>
      <c r="J6" s="432"/>
      <c r="K6" s="432"/>
      <c r="L6" s="432"/>
      <c r="M6" s="432"/>
      <c r="N6" s="432"/>
      <c r="O6" s="432"/>
      <c r="P6" s="432"/>
      <c r="Q6" s="432"/>
      <c r="R6" s="432"/>
      <c r="S6" s="371" t="s">
        <v>18</v>
      </c>
      <c r="T6" s="372"/>
      <c r="U6" s="372"/>
      <c r="V6" s="372"/>
      <c r="W6" s="372"/>
      <c r="X6" s="372"/>
      <c r="Y6" s="372"/>
      <c r="Z6" s="372"/>
      <c r="AA6" s="372"/>
      <c r="AB6" s="372"/>
      <c r="AC6" s="372"/>
      <c r="AD6" s="372"/>
      <c r="AE6" s="372"/>
      <c r="AF6" s="372"/>
      <c r="AG6" s="373"/>
      <c r="AH6" s="210"/>
      <c r="AI6" s="35" t="s">
        <v>37</v>
      </c>
      <c r="AJ6" s="210"/>
      <c r="AK6" s="210"/>
    </row>
    <row r="7" spans="1:57" s="32" customFormat="1" ht="26.25" customHeight="1" x14ac:dyDescent="0.2">
      <c r="A7" s="423" t="s">
        <v>39</v>
      </c>
      <c r="B7" s="426" t="s">
        <v>34</v>
      </c>
      <c r="C7" s="427"/>
      <c r="D7" s="392" t="s">
        <v>14</v>
      </c>
      <c r="E7" s="392"/>
      <c r="F7" s="392"/>
      <c r="G7" s="392"/>
      <c r="H7" s="392" t="s">
        <v>24</v>
      </c>
      <c r="I7" s="392"/>
      <c r="J7" s="392"/>
      <c r="K7" s="392"/>
      <c r="L7" s="392"/>
      <c r="M7" s="379" t="s">
        <v>20</v>
      </c>
      <c r="N7" s="380"/>
      <c r="O7" s="380"/>
      <c r="P7" s="380"/>
      <c r="Q7" s="380"/>
      <c r="R7" s="381"/>
      <c r="S7" s="382" t="s">
        <v>44</v>
      </c>
      <c r="T7" s="383"/>
      <c r="U7" s="383"/>
      <c r="V7" s="383"/>
      <c r="W7" s="383"/>
      <c r="X7" s="383"/>
      <c r="Y7" s="383"/>
      <c r="Z7" s="383"/>
      <c r="AA7" s="383"/>
      <c r="AB7" s="383"/>
      <c r="AC7" s="383"/>
      <c r="AD7" s="383"/>
      <c r="AE7" s="384"/>
      <c r="AF7" s="374" t="s">
        <v>23</v>
      </c>
      <c r="AG7" s="374"/>
    </row>
    <row r="8" spans="1:57" s="32" customFormat="1" ht="20.25" customHeight="1" x14ac:dyDescent="0.2">
      <c r="A8" s="424"/>
      <c r="B8" s="428" t="s">
        <v>40</v>
      </c>
      <c r="C8" s="428" t="s">
        <v>41</v>
      </c>
      <c r="D8" s="393" t="s">
        <v>42</v>
      </c>
      <c r="E8" s="393" t="s">
        <v>567</v>
      </c>
      <c r="F8" s="393" t="s">
        <v>43</v>
      </c>
      <c r="G8" s="398" t="s">
        <v>48</v>
      </c>
      <c r="H8" s="401" t="s">
        <v>49</v>
      </c>
      <c r="I8" s="401" t="s">
        <v>50</v>
      </c>
      <c r="J8" s="401" t="s">
        <v>51</v>
      </c>
      <c r="K8" s="401" t="s">
        <v>52</v>
      </c>
      <c r="L8" s="401" t="s">
        <v>53</v>
      </c>
      <c r="M8" s="411" t="s">
        <v>54</v>
      </c>
      <c r="N8" s="407" t="s">
        <v>55</v>
      </c>
      <c r="O8" s="408" t="s">
        <v>56</v>
      </c>
      <c r="P8" s="409"/>
      <c r="Q8" s="409"/>
      <c r="R8" s="410"/>
      <c r="S8" s="404" t="s">
        <v>30</v>
      </c>
      <c r="T8" s="405"/>
      <c r="U8" s="406"/>
      <c r="V8" s="404" t="s">
        <v>31</v>
      </c>
      <c r="W8" s="405"/>
      <c r="X8" s="406"/>
      <c r="Y8" s="404" t="s">
        <v>32</v>
      </c>
      <c r="Z8" s="405"/>
      <c r="AA8" s="406"/>
      <c r="AB8" s="404" t="s">
        <v>33</v>
      </c>
      <c r="AC8" s="405"/>
      <c r="AD8" s="406"/>
      <c r="AE8" s="433" t="s">
        <v>45</v>
      </c>
      <c r="AF8" s="385" t="s">
        <v>46</v>
      </c>
      <c r="AG8" s="376" t="s">
        <v>47</v>
      </c>
      <c r="AI8" s="368" t="s">
        <v>19</v>
      </c>
      <c r="AJ8" s="369"/>
      <c r="AK8" s="370"/>
    </row>
    <row r="9" spans="1:57" s="33" customFormat="1" ht="12.75" customHeight="1" x14ac:dyDescent="0.2">
      <c r="A9" s="424"/>
      <c r="B9" s="428"/>
      <c r="C9" s="428"/>
      <c r="D9" s="394"/>
      <c r="E9" s="394"/>
      <c r="F9" s="394"/>
      <c r="G9" s="399"/>
      <c r="H9" s="402"/>
      <c r="I9" s="402"/>
      <c r="J9" s="402"/>
      <c r="K9" s="402"/>
      <c r="L9" s="402"/>
      <c r="M9" s="412"/>
      <c r="N9" s="407"/>
      <c r="O9" s="396" t="s">
        <v>26</v>
      </c>
      <c r="P9" s="396" t="s">
        <v>27</v>
      </c>
      <c r="Q9" s="396" t="s">
        <v>28</v>
      </c>
      <c r="R9" s="396" t="s">
        <v>29</v>
      </c>
      <c r="S9" s="388" t="s">
        <v>21</v>
      </c>
      <c r="T9" s="388" t="s">
        <v>568</v>
      </c>
      <c r="U9" s="390" t="s">
        <v>22</v>
      </c>
      <c r="V9" s="388" t="s">
        <v>21</v>
      </c>
      <c r="W9" s="388" t="s">
        <v>568</v>
      </c>
      <c r="X9" s="390" t="s">
        <v>22</v>
      </c>
      <c r="Y9" s="388" t="s">
        <v>21</v>
      </c>
      <c r="Z9" s="388" t="s">
        <v>568</v>
      </c>
      <c r="AA9" s="390" t="s">
        <v>22</v>
      </c>
      <c r="AB9" s="388" t="s">
        <v>21</v>
      </c>
      <c r="AC9" s="388" t="s">
        <v>568</v>
      </c>
      <c r="AD9" s="390" t="s">
        <v>22</v>
      </c>
      <c r="AE9" s="434"/>
      <c r="AF9" s="386"/>
      <c r="AG9" s="377"/>
      <c r="AI9" s="366" t="s">
        <v>0</v>
      </c>
      <c r="AJ9" s="364" t="s">
        <v>15</v>
      </c>
      <c r="AK9" s="362" t="s">
        <v>16</v>
      </c>
    </row>
    <row r="10" spans="1:57" s="33" customFormat="1" ht="72" customHeight="1" x14ac:dyDescent="0.2">
      <c r="A10" s="425"/>
      <c r="B10" s="428"/>
      <c r="C10" s="428"/>
      <c r="D10" s="395"/>
      <c r="E10" s="395"/>
      <c r="F10" s="395"/>
      <c r="G10" s="400"/>
      <c r="H10" s="403"/>
      <c r="I10" s="403"/>
      <c r="J10" s="403"/>
      <c r="K10" s="403"/>
      <c r="L10" s="403"/>
      <c r="M10" s="413"/>
      <c r="N10" s="407"/>
      <c r="O10" s="397"/>
      <c r="P10" s="397"/>
      <c r="Q10" s="397"/>
      <c r="R10" s="397"/>
      <c r="S10" s="389"/>
      <c r="T10" s="389"/>
      <c r="U10" s="391"/>
      <c r="V10" s="389"/>
      <c r="W10" s="389"/>
      <c r="X10" s="391"/>
      <c r="Y10" s="389"/>
      <c r="Z10" s="389"/>
      <c r="AA10" s="391"/>
      <c r="AB10" s="389"/>
      <c r="AC10" s="389"/>
      <c r="AD10" s="391"/>
      <c r="AE10" s="435"/>
      <c r="AF10" s="387"/>
      <c r="AG10" s="378"/>
      <c r="AI10" s="367"/>
      <c r="AJ10" s="365"/>
      <c r="AK10" s="363"/>
    </row>
    <row r="11" spans="1:57" s="33" customFormat="1" ht="360" x14ac:dyDescent="0.2">
      <c r="A11" s="51">
        <v>1</v>
      </c>
      <c r="B11" s="51">
        <v>3</v>
      </c>
      <c r="C11" s="51" t="s">
        <v>62</v>
      </c>
      <c r="D11" s="131" t="s">
        <v>269</v>
      </c>
      <c r="E11" s="51" t="s">
        <v>270</v>
      </c>
      <c r="F11" s="106" t="s">
        <v>271</v>
      </c>
      <c r="G11" s="73">
        <v>42885</v>
      </c>
      <c r="H11" s="51" t="s">
        <v>35</v>
      </c>
      <c r="I11" s="106" t="s">
        <v>272</v>
      </c>
      <c r="J11" s="106" t="s">
        <v>273</v>
      </c>
      <c r="K11" s="78" t="s">
        <v>274</v>
      </c>
      <c r="L11" s="70" t="s">
        <v>96</v>
      </c>
      <c r="M11" s="107">
        <v>1</v>
      </c>
      <c r="N11" s="107">
        <v>1</v>
      </c>
      <c r="O11" s="132">
        <v>0.5</v>
      </c>
      <c r="P11" s="132">
        <v>0.5</v>
      </c>
      <c r="Q11" s="78" t="s">
        <v>149</v>
      </c>
      <c r="R11" s="78" t="s">
        <v>149</v>
      </c>
      <c r="S11" s="133">
        <v>3</v>
      </c>
      <c r="T11" s="133">
        <v>6</v>
      </c>
      <c r="U11" s="317">
        <f>SUM(S11/T11)</f>
        <v>0.5</v>
      </c>
      <c r="V11" s="60">
        <v>6</v>
      </c>
      <c r="W11" s="60">
        <v>6</v>
      </c>
      <c r="X11" s="317">
        <f>SUM(V11/W11)</f>
        <v>1</v>
      </c>
      <c r="Y11" s="60" t="s">
        <v>79</v>
      </c>
      <c r="Z11" s="60" t="s">
        <v>79</v>
      </c>
      <c r="AA11" s="317"/>
      <c r="AB11" s="60" t="s">
        <v>79</v>
      </c>
      <c r="AC11" s="59" t="s">
        <v>79</v>
      </c>
      <c r="AD11" s="317"/>
      <c r="AE11" s="307">
        <f>SUM(X11)/(O11+P11)</f>
        <v>1</v>
      </c>
      <c r="AF11" s="303" t="str">
        <f>IF(AE11&lt;80%,"MÍNIMO",IF(AE11&gt;=80%,IF(AE11&lt;90%,"ACEPTABLE",IF(AE11&gt;=90%,"SATISFACTORIO"))))</f>
        <v>SATISFACTORIO</v>
      </c>
      <c r="AG11" s="261" t="s">
        <v>457</v>
      </c>
      <c r="AI11" s="212" t="s">
        <v>61</v>
      </c>
      <c r="AJ11" s="212" t="s">
        <v>160</v>
      </c>
      <c r="AK11" s="212" t="s">
        <v>64</v>
      </c>
    </row>
    <row r="12" spans="1:57" s="33" customFormat="1" ht="337.5" customHeight="1" x14ac:dyDescent="0.2">
      <c r="A12" s="51">
        <v>2</v>
      </c>
      <c r="B12" s="51">
        <v>3</v>
      </c>
      <c r="C12" s="51" t="s">
        <v>62</v>
      </c>
      <c r="D12" s="131" t="s">
        <v>269</v>
      </c>
      <c r="E12" s="51" t="s">
        <v>270</v>
      </c>
      <c r="F12" s="64" t="s">
        <v>275</v>
      </c>
      <c r="G12" s="73">
        <v>43100</v>
      </c>
      <c r="H12" s="51" t="s">
        <v>35</v>
      </c>
      <c r="I12" s="106" t="s">
        <v>276</v>
      </c>
      <c r="J12" s="106" t="s">
        <v>277</v>
      </c>
      <c r="K12" s="78" t="s">
        <v>278</v>
      </c>
      <c r="L12" s="70" t="s">
        <v>96</v>
      </c>
      <c r="M12" s="107" t="s">
        <v>279</v>
      </c>
      <c r="N12" s="107">
        <v>1</v>
      </c>
      <c r="O12" s="56">
        <v>0.1</v>
      </c>
      <c r="P12" s="56">
        <v>0.3</v>
      </c>
      <c r="Q12" s="56">
        <v>0.4</v>
      </c>
      <c r="R12" s="56">
        <v>0.2</v>
      </c>
      <c r="S12" s="133">
        <v>1</v>
      </c>
      <c r="T12" s="133">
        <v>10</v>
      </c>
      <c r="U12" s="317">
        <f>SUM(S12/T12)</f>
        <v>0.1</v>
      </c>
      <c r="V12" s="60">
        <v>4</v>
      </c>
      <c r="W12" s="60">
        <v>10</v>
      </c>
      <c r="X12" s="317">
        <f>SUM(V12/W12)</f>
        <v>0.4</v>
      </c>
      <c r="Y12" s="60">
        <v>6</v>
      </c>
      <c r="Z12" s="60">
        <v>10</v>
      </c>
      <c r="AA12" s="317">
        <f>SUM(Y12/Z12)</f>
        <v>0.6</v>
      </c>
      <c r="AB12" s="60">
        <v>10</v>
      </c>
      <c r="AC12" s="60">
        <v>10</v>
      </c>
      <c r="AD12" s="317">
        <f>SUM(AB12/AC12)</f>
        <v>1</v>
      </c>
      <c r="AE12" s="307">
        <f>SUM(AD12)/(O12+P12+Q12+R12)</f>
        <v>1</v>
      </c>
      <c r="AF12" s="303" t="str">
        <f>IF(AE12&lt;80%,"MÍNIMO",IF(AE12&gt;=80%,IF(AE12&lt;90%,"ACEPTABLE",IF(AE12&gt;=90%,"SATISFACTORIO"))))</f>
        <v>SATISFACTORIO</v>
      </c>
      <c r="AG12" s="262" t="s">
        <v>458</v>
      </c>
      <c r="AH12" s="108"/>
      <c r="AI12" s="212" t="s">
        <v>61</v>
      </c>
      <c r="AJ12" s="212" t="s">
        <v>160</v>
      </c>
      <c r="AK12" s="212" t="s">
        <v>64</v>
      </c>
    </row>
    <row r="13" spans="1:57" s="33" customFormat="1" ht="144" x14ac:dyDescent="0.2">
      <c r="A13" s="51">
        <v>3</v>
      </c>
      <c r="B13" s="51">
        <v>3</v>
      </c>
      <c r="C13" s="51" t="s">
        <v>62</v>
      </c>
      <c r="D13" s="131" t="s">
        <v>269</v>
      </c>
      <c r="E13" s="51" t="s">
        <v>270</v>
      </c>
      <c r="F13" s="106" t="s">
        <v>280</v>
      </c>
      <c r="G13" s="73">
        <v>43100</v>
      </c>
      <c r="H13" s="51" t="s">
        <v>35</v>
      </c>
      <c r="I13" s="106" t="s">
        <v>281</v>
      </c>
      <c r="J13" s="106" t="s">
        <v>282</v>
      </c>
      <c r="K13" s="78" t="s">
        <v>283</v>
      </c>
      <c r="L13" s="70" t="s">
        <v>96</v>
      </c>
      <c r="M13" s="107" t="s">
        <v>279</v>
      </c>
      <c r="N13" s="107">
        <v>1</v>
      </c>
      <c r="O13" s="78" t="s">
        <v>200</v>
      </c>
      <c r="P13" s="78" t="s">
        <v>200</v>
      </c>
      <c r="Q13" s="78" t="s">
        <v>149</v>
      </c>
      <c r="R13" s="78">
        <v>1</v>
      </c>
      <c r="S13" s="40" t="s">
        <v>79</v>
      </c>
      <c r="T13" s="40" t="s">
        <v>79</v>
      </c>
      <c r="U13" s="318"/>
      <c r="V13" s="40" t="s">
        <v>79</v>
      </c>
      <c r="W13" s="40" t="s">
        <v>79</v>
      </c>
      <c r="X13" s="317">
        <f>SUM(U13)</f>
        <v>0</v>
      </c>
      <c r="Y13" s="40" t="s">
        <v>79</v>
      </c>
      <c r="Z13" s="40" t="s">
        <v>79</v>
      </c>
      <c r="AA13" s="319"/>
      <c r="AB13" s="49">
        <v>1</v>
      </c>
      <c r="AC13" s="40" t="s">
        <v>79</v>
      </c>
      <c r="AD13" s="320">
        <f>+AB13</f>
        <v>1</v>
      </c>
      <c r="AE13" s="307">
        <f>+AD13</f>
        <v>1</v>
      </c>
      <c r="AF13" s="303" t="str">
        <f>IF(AE13=0%,"MÍNIMO",IF(AE13&gt;=100%,"SATISFACTORIO"))</f>
        <v>SATISFACTORIO</v>
      </c>
      <c r="AG13" s="263" t="s">
        <v>484</v>
      </c>
      <c r="AH13" s="109"/>
      <c r="AI13" s="213">
        <f>0%</f>
        <v>0</v>
      </c>
      <c r="AJ13" s="212"/>
      <c r="AK13" s="213">
        <f>100%</f>
        <v>1</v>
      </c>
    </row>
    <row r="14" spans="1:57" s="123" customFormat="1" ht="172.5" customHeight="1" x14ac:dyDescent="0.2">
      <c r="A14" s="51">
        <v>4</v>
      </c>
      <c r="B14" s="71">
        <v>5</v>
      </c>
      <c r="C14" s="70">
        <v>5.0999999999999996</v>
      </c>
      <c r="D14" s="72" t="s">
        <v>340</v>
      </c>
      <c r="E14" s="72" t="s">
        <v>341</v>
      </c>
      <c r="F14" s="72" t="s">
        <v>342</v>
      </c>
      <c r="G14" s="214">
        <v>43100</v>
      </c>
      <c r="H14" s="72" t="s">
        <v>35</v>
      </c>
      <c r="I14" s="215" t="s">
        <v>343</v>
      </c>
      <c r="J14" s="215" t="s">
        <v>344</v>
      </c>
      <c r="K14" s="69" t="s">
        <v>345</v>
      </c>
      <c r="L14" s="70" t="s">
        <v>96</v>
      </c>
      <c r="M14" s="216" t="s">
        <v>97</v>
      </c>
      <c r="N14" s="49">
        <v>1</v>
      </c>
      <c r="O14" s="120"/>
      <c r="P14" s="120"/>
      <c r="Q14" s="120"/>
      <c r="R14" s="120">
        <v>1</v>
      </c>
      <c r="S14" s="40"/>
      <c r="T14" s="40"/>
      <c r="U14" s="319"/>
      <c r="V14" s="40"/>
      <c r="W14" s="40"/>
      <c r="X14" s="319"/>
      <c r="Y14" s="40"/>
      <c r="Z14" s="40"/>
      <c r="AA14" s="319"/>
      <c r="AB14" s="40">
        <v>3</v>
      </c>
      <c r="AC14" s="40">
        <v>3</v>
      </c>
      <c r="AD14" s="320">
        <f t="shared" ref="AD14:AD19" si="0">SUM(AB14/AC14)</f>
        <v>1</v>
      </c>
      <c r="AE14" s="308">
        <f>SUM(AD14/R14)</f>
        <v>1</v>
      </c>
      <c r="AF14" s="304" t="str">
        <f>IF(AE14&lt;80%,"MÍNIMO",IF(AE14&gt;=80%,IF(AE14&lt;90%,"ACEPTABLE",IF(AE14&gt;=90%,"SATISFACTORIO"))))</f>
        <v>SATISFACTORIO</v>
      </c>
      <c r="AG14" s="264" t="s">
        <v>485</v>
      </c>
      <c r="AH14" s="121"/>
      <c r="AI14" s="51" t="s">
        <v>38</v>
      </c>
      <c r="AJ14" s="51" t="s">
        <v>65</v>
      </c>
      <c r="AK14" s="51" t="s">
        <v>241</v>
      </c>
      <c r="AL14" s="122"/>
      <c r="AM14" s="122"/>
      <c r="AN14" s="122"/>
      <c r="AO14" s="122"/>
      <c r="AP14" s="122"/>
      <c r="AQ14" s="122"/>
      <c r="AR14" s="122"/>
      <c r="AS14" s="122"/>
      <c r="AT14" s="122"/>
      <c r="AU14" s="122"/>
      <c r="AV14" s="122"/>
      <c r="AW14" s="122"/>
      <c r="AX14" s="122"/>
      <c r="AY14" s="122"/>
      <c r="AZ14" s="122"/>
      <c r="BA14" s="122"/>
      <c r="BB14" s="122"/>
      <c r="BC14" s="122"/>
      <c r="BD14" s="122"/>
      <c r="BE14" s="122"/>
    </row>
    <row r="15" spans="1:57" s="123" customFormat="1" ht="384" customHeight="1" x14ac:dyDescent="0.2">
      <c r="A15" s="51">
        <v>5</v>
      </c>
      <c r="B15" s="71">
        <v>5</v>
      </c>
      <c r="C15" s="70">
        <v>5.0999999999999996</v>
      </c>
      <c r="D15" s="72" t="s">
        <v>340</v>
      </c>
      <c r="E15" s="72" t="s">
        <v>341</v>
      </c>
      <c r="F15" s="217" t="s">
        <v>346</v>
      </c>
      <c r="G15" s="214">
        <v>43100</v>
      </c>
      <c r="H15" s="72" t="s">
        <v>35</v>
      </c>
      <c r="I15" s="215" t="s">
        <v>347</v>
      </c>
      <c r="J15" s="215" t="s">
        <v>348</v>
      </c>
      <c r="K15" s="69" t="s">
        <v>349</v>
      </c>
      <c r="L15" s="70" t="s">
        <v>96</v>
      </c>
      <c r="M15" s="216" t="s">
        <v>97</v>
      </c>
      <c r="N15" s="49">
        <v>1</v>
      </c>
      <c r="O15" s="124" t="s">
        <v>97</v>
      </c>
      <c r="P15" s="120">
        <v>0.5</v>
      </c>
      <c r="Q15" s="120" t="s">
        <v>339</v>
      </c>
      <c r="R15" s="120">
        <v>0.5</v>
      </c>
      <c r="S15" s="49"/>
      <c r="T15" s="40"/>
      <c r="U15" s="319"/>
      <c r="V15" s="40">
        <v>5</v>
      </c>
      <c r="W15" s="40">
        <v>10</v>
      </c>
      <c r="X15" s="320">
        <f>SUM(V15/W15)</f>
        <v>0.5</v>
      </c>
      <c r="Y15" s="40"/>
      <c r="Z15" s="40"/>
      <c r="AA15" s="319"/>
      <c r="AB15" s="40">
        <v>10</v>
      </c>
      <c r="AC15" s="40">
        <v>10</v>
      </c>
      <c r="AD15" s="320">
        <f t="shared" si="0"/>
        <v>1</v>
      </c>
      <c r="AE15" s="308">
        <f>SUM(AD15)/N15</f>
        <v>1</v>
      </c>
      <c r="AF15" s="304" t="str">
        <f>IF(AE15&lt;80%,"MÍNIMO",IF(AE15&gt;=80%,IF(AE15&lt;90%,"ACEPTABLE",IF(AE15&gt;=90%,"SATISFACTORIO"))))</f>
        <v>SATISFACTORIO</v>
      </c>
      <c r="AG15" s="265" t="s">
        <v>486</v>
      </c>
      <c r="AH15" s="83"/>
      <c r="AI15" s="45" t="s">
        <v>38</v>
      </c>
      <c r="AJ15" s="45" t="s">
        <v>65</v>
      </c>
      <c r="AK15" s="45" t="s">
        <v>241</v>
      </c>
      <c r="AL15" s="122"/>
      <c r="AM15" s="122"/>
      <c r="AN15" s="122"/>
      <c r="AO15" s="122"/>
      <c r="AP15" s="122"/>
      <c r="AQ15" s="122"/>
      <c r="AR15" s="122"/>
      <c r="AS15" s="122"/>
      <c r="AT15" s="122"/>
      <c r="AU15" s="122"/>
      <c r="AV15" s="122"/>
      <c r="AW15" s="122"/>
      <c r="AX15" s="122"/>
      <c r="AY15" s="122"/>
      <c r="AZ15" s="122"/>
      <c r="BA15" s="122"/>
      <c r="BB15" s="122"/>
      <c r="BC15" s="122"/>
      <c r="BD15" s="122"/>
      <c r="BE15" s="122"/>
    </row>
    <row r="16" spans="1:57" s="123" customFormat="1" ht="399" customHeight="1" x14ac:dyDescent="0.2">
      <c r="A16" s="51">
        <v>6</v>
      </c>
      <c r="B16" s="71">
        <v>5</v>
      </c>
      <c r="C16" s="70" t="s">
        <v>350</v>
      </c>
      <c r="D16" s="72" t="s">
        <v>340</v>
      </c>
      <c r="E16" s="72" t="s">
        <v>341</v>
      </c>
      <c r="F16" s="72" t="s">
        <v>351</v>
      </c>
      <c r="G16" s="214">
        <v>43100</v>
      </c>
      <c r="H16" s="72" t="s">
        <v>35</v>
      </c>
      <c r="I16" s="215" t="s">
        <v>352</v>
      </c>
      <c r="J16" s="215" t="s">
        <v>353</v>
      </c>
      <c r="K16" s="69" t="s">
        <v>354</v>
      </c>
      <c r="L16" s="70" t="s">
        <v>96</v>
      </c>
      <c r="M16" s="132"/>
      <c r="N16" s="49">
        <v>1</v>
      </c>
      <c r="O16" s="120" t="s">
        <v>339</v>
      </c>
      <c r="P16" s="120">
        <v>0.4</v>
      </c>
      <c r="Q16" s="120"/>
      <c r="R16" s="120">
        <v>0.6</v>
      </c>
      <c r="S16" s="40"/>
      <c r="T16" s="40"/>
      <c r="U16" s="319" t="s">
        <v>339</v>
      </c>
      <c r="V16" s="40">
        <v>6</v>
      </c>
      <c r="W16" s="40">
        <v>13</v>
      </c>
      <c r="X16" s="320">
        <f>SUM(V16/W16)</f>
        <v>0.46153846153846156</v>
      </c>
      <c r="Y16" s="40"/>
      <c r="Z16" s="40"/>
      <c r="AA16" s="319"/>
      <c r="AB16" s="40">
        <v>13</v>
      </c>
      <c r="AC16" s="40">
        <v>13</v>
      </c>
      <c r="AD16" s="320">
        <f t="shared" si="0"/>
        <v>1</v>
      </c>
      <c r="AE16" s="308">
        <f>SUM(AD16)/N16</f>
        <v>1</v>
      </c>
      <c r="AF16" s="304" t="str">
        <f>IF(AE16&lt;80%,"MÍNIMO",IF(AE16&gt;=80%,IF(AE16&lt;90%,"ACEPTABLE",IF(AE16&gt;=90%,"SATISFACTORIO"))))</f>
        <v>SATISFACTORIO</v>
      </c>
      <c r="AG16" s="266" t="s">
        <v>469</v>
      </c>
      <c r="AH16" s="83"/>
      <c r="AI16" s="45" t="s">
        <v>38</v>
      </c>
      <c r="AJ16" s="45" t="s">
        <v>65</v>
      </c>
      <c r="AK16" s="45" t="s">
        <v>241</v>
      </c>
      <c r="AL16" s="122"/>
      <c r="AM16" s="122"/>
      <c r="AN16" s="122"/>
      <c r="AO16" s="122"/>
      <c r="AP16" s="122"/>
      <c r="AQ16" s="122"/>
      <c r="AR16" s="122"/>
      <c r="AS16" s="122"/>
      <c r="AT16" s="122"/>
      <c r="AU16" s="122"/>
      <c r="AV16" s="122"/>
      <c r="AW16" s="122"/>
      <c r="AX16" s="122"/>
      <c r="AY16" s="122"/>
      <c r="AZ16" s="122"/>
      <c r="BA16" s="122"/>
      <c r="BB16" s="122"/>
      <c r="BC16" s="122"/>
      <c r="BD16" s="122"/>
      <c r="BE16" s="122"/>
    </row>
    <row r="17" spans="1:58" s="123" customFormat="1" ht="408" x14ac:dyDescent="0.2">
      <c r="A17" s="51">
        <v>7</v>
      </c>
      <c r="B17" s="71">
        <v>5</v>
      </c>
      <c r="C17" s="70" t="s">
        <v>355</v>
      </c>
      <c r="D17" s="72" t="s">
        <v>340</v>
      </c>
      <c r="E17" s="72" t="s">
        <v>341</v>
      </c>
      <c r="F17" s="72" t="s">
        <v>356</v>
      </c>
      <c r="G17" s="214">
        <v>43100</v>
      </c>
      <c r="H17" s="72" t="s">
        <v>35</v>
      </c>
      <c r="I17" s="215" t="s">
        <v>357</v>
      </c>
      <c r="J17" s="215" t="s">
        <v>358</v>
      </c>
      <c r="K17" s="69" t="s">
        <v>359</v>
      </c>
      <c r="L17" s="70" t="s">
        <v>96</v>
      </c>
      <c r="M17" s="216" t="s">
        <v>97</v>
      </c>
      <c r="N17" s="49">
        <v>1</v>
      </c>
      <c r="O17" s="124" t="s">
        <v>339</v>
      </c>
      <c r="P17" s="120">
        <v>0.2</v>
      </c>
      <c r="Q17" s="120"/>
      <c r="R17" s="120">
        <v>0.8</v>
      </c>
      <c r="S17" s="40">
        <v>0</v>
      </c>
      <c r="T17" s="40">
        <v>0</v>
      </c>
      <c r="U17" s="319" t="s">
        <v>339</v>
      </c>
      <c r="V17" s="40">
        <v>3.8</v>
      </c>
      <c r="W17" s="40">
        <v>12</v>
      </c>
      <c r="X17" s="329">
        <f>SUM(V17/W17)</f>
        <v>0.31666666666666665</v>
      </c>
      <c r="Y17" s="40"/>
      <c r="Z17" s="40"/>
      <c r="AA17" s="319"/>
      <c r="AB17" s="40">
        <v>12</v>
      </c>
      <c r="AC17" s="40">
        <v>12</v>
      </c>
      <c r="AD17" s="320">
        <f t="shared" si="0"/>
        <v>1</v>
      </c>
      <c r="AE17" s="308">
        <f>SUM(AD17)/N17</f>
        <v>1</v>
      </c>
      <c r="AF17" s="304" t="str">
        <f>IF(AE17&lt;80%,"MÍNIMO",IF(AE17&gt;=80%,IF(AE17&lt;90%,"ACEPTABLE",IF(AE17&gt;=90%,"SATISFACTORIO"))))</f>
        <v>SATISFACTORIO</v>
      </c>
      <c r="AG17" s="267" t="s">
        <v>470</v>
      </c>
      <c r="AH17" s="83"/>
      <c r="AI17" s="51" t="s">
        <v>38</v>
      </c>
      <c r="AJ17" s="51" t="s">
        <v>208</v>
      </c>
      <c r="AK17" s="51" t="s">
        <v>66</v>
      </c>
      <c r="AL17" s="122"/>
      <c r="AM17" s="122"/>
      <c r="AN17" s="122"/>
      <c r="AO17" s="122"/>
      <c r="AP17" s="122"/>
      <c r="AQ17" s="122"/>
      <c r="AR17" s="122"/>
      <c r="AS17" s="122"/>
      <c r="AT17" s="122"/>
      <c r="AU17" s="122"/>
      <c r="AV17" s="122"/>
      <c r="AW17" s="122"/>
      <c r="AX17" s="122"/>
      <c r="AY17" s="122"/>
      <c r="AZ17" s="122"/>
      <c r="BA17" s="122"/>
      <c r="BB17" s="122"/>
      <c r="BC17" s="122"/>
      <c r="BD17" s="122"/>
      <c r="BE17" s="122"/>
    </row>
    <row r="18" spans="1:58" s="116" customFormat="1" ht="121.5" customHeight="1" x14ac:dyDescent="0.2">
      <c r="A18" s="51">
        <v>8</v>
      </c>
      <c r="B18" s="71">
        <v>5</v>
      </c>
      <c r="C18" s="70" t="s">
        <v>360</v>
      </c>
      <c r="D18" s="72" t="s">
        <v>340</v>
      </c>
      <c r="E18" s="72" t="s">
        <v>341</v>
      </c>
      <c r="F18" s="72" t="s">
        <v>361</v>
      </c>
      <c r="G18" s="214">
        <v>43100</v>
      </c>
      <c r="H18" s="72" t="s">
        <v>35</v>
      </c>
      <c r="I18" s="215" t="s">
        <v>362</v>
      </c>
      <c r="J18" s="215" t="s">
        <v>363</v>
      </c>
      <c r="K18" s="69" t="s">
        <v>364</v>
      </c>
      <c r="L18" s="70" t="s">
        <v>96</v>
      </c>
      <c r="M18" s="216"/>
      <c r="N18" s="49">
        <v>1</v>
      </c>
      <c r="O18" s="124" t="s">
        <v>97</v>
      </c>
      <c r="P18" s="120" t="s">
        <v>339</v>
      </c>
      <c r="Q18" s="120" t="s">
        <v>339</v>
      </c>
      <c r="R18" s="120">
        <v>1</v>
      </c>
      <c r="S18" s="40"/>
      <c r="T18" s="40"/>
      <c r="U18" s="319"/>
      <c r="V18" s="40"/>
      <c r="W18" s="40"/>
      <c r="X18" s="319"/>
      <c r="Y18" s="40"/>
      <c r="Z18" s="40"/>
      <c r="AA18" s="319"/>
      <c r="AB18" s="209">
        <v>1795264356</v>
      </c>
      <c r="AC18" s="209">
        <v>1812094604</v>
      </c>
      <c r="AD18" s="329">
        <f t="shared" si="0"/>
        <v>0.99071226857425154</v>
      </c>
      <c r="AE18" s="308">
        <f>SUM(AD18/R18)</f>
        <v>0.99071226857425154</v>
      </c>
      <c r="AF18" s="304" t="str">
        <f>IF(AE18&lt;80%,"MÍNIMO",IF(AE18&gt;=80%,IF(AE18&lt;90%,"ACEPTABLE",IF(AE18&gt;=90%,"SATISFACTORIO"))))</f>
        <v>SATISFACTORIO</v>
      </c>
      <c r="AG18" s="264" t="s">
        <v>487</v>
      </c>
      <c r="AH18" s="121"/>
      <c r="AI18" s="51" t="s">
        <v>38</v>
      </c>
      <c r="AJ18" s="51" t="s">
        <v>208</v>
      </c>
      <c r="AK18" s="51" t="s">
        <v>66</v>
      </c>
    </row>
    <row r="19" spans="1:58" s="123" customFormat="1" ht="245.25" customHeight="1" x14ac:dyDescent="0.2">
      <c r="A19" s="51">
        <v>9</v>
      </c>
      <c r="B19" s="71">
        <v>5</v>
      </c>
      <c r="C19" s="70" t="s">
        <v>360</v>
      </c>
      <c r="D19" s="72" t="s">
        <v>340</v>
      </c>
      <c r="E19" s="72" t="s">
        <v>341</v>
      </c>
      <c r="F19" s="72" t="s">
        <v>365</v>
      </c>
      <c r="G19" s="214">
        <v>43100</v>
      </c>
      <c r="H19" s="72" t="s">
        <v>37</v>
      </c>
      <c r="I19" s="215" t="s">
        <v>366</v>
      </c>
      <c r="J19" s="215" t="s">
        <v>367</v>
      </c>
      <c r="K19" s="215" t="s">
        <v>368</v>
      </c>
      <c r="L19" s="70" t="s">
        <v>96</v>
      </c>
      <c r="M19" s="134" t="s">
        <v>149</v>
      </c>
      <c r="N19" s="49">
        <v>0.8</v>
      </c>
      <c r="O19" s="124" t="s">
        <v>339</v>
      </c>
      <c r="P19" s="120">
        <v>0.8</v>
      </c>
      <c r="Q19" s="120">
        <v>0.8</v>
      </c>
      <c r="R19" s="120">
        <v>0.8</v>
      </c>
      <c r="S19" s="218"/>
      <c r="T19" s="51"/>
      <c r="U19" s="319"/>
      <c r="V19" s="40">
        <v>934</v>
      </c>
      <c r="W19" s="40">
        <v>1005</v>
      </c>
      <c r="X19" s="320">
        <f>SUM(V19/W19)</f>
        <v>0.92935323383084578</v>
      </c>
      <c r="Y19" s="40">
        <v>2138</v>
      </c>
      <c r="Z19" s="40">
        <v>2276</v>
      </c>
      <c r="AA19" s="320">
        <f>SUM(Y19/Z19)</f>
        <v>0.93936731107205629</v>
      </c>
      <c r="AB19" s="40">
        <v>3431</v>
      </c>
      <c r="AC19" s="40">
        <v>3683</v>
      </c>
      <c r="AD19" s="320">
        <f t="shared" si="0"/>
        <v>0.93157751832745039</v>
      </c>
      <c r="AE19" s="308">
        <f>SUM(AD19)/N19</f>
        <v>1.1644718979093129</v>
      </c>
      <c r="AF19" s="304" t="str">
        <f>IF(AE19&lt;70%,"MÍNIMO",IF(AE19&gt;=70%,IF(AE19&lt;80%,"ACEPTABLE",IF(AE19&gt;=80%,"SATISFACTORIO"))))</f>
        <v>SATISFACTORIO</v>
      </c>
      <c r="AG19" s="266" t="s">
        <v>488</v>
      </c>
      <c r="AH19" s="116"/>
      <c r="AI19" s="51" t="s">
        <v>369</v>
      </c>
      <c r="AJ19" s="45" t="s">
        <v>370</v>
      </c>
      <c r="AK19" s="45" t="s">
        <v>371</v>
      </c>
      <c r="AL19" s="122" t="s">
        <v>339</v>
      </c>
      <c r="AM19" s="122"/>
      <c r="AN19" s="122"/>
      <c r="AO19" s="122"/>
      <c r="AP19" s="122"/>
      <c r="AQ19" s="122"/>
      <c r="AR19" s="122"/>
      <c r="AS19" s="122"/>
      <c r="AT19" s="122"/>
      <c r="AU19" s="122"/>
      <c r="AV19" s="122"/>
      <c r="AW19" s="122"/>
      <c r="AX19" s="122"/>
      <c r="AY19" s="122"/>
      <c r="AZ19" s="122"/>
      <c r="BA19" s="122"/>
      <c r="BB19" s="122"/>
      <c r="BC19" s="122"/>
      <c r="BD19" s="122"/>
      <c r="BE19" s="122"/>
      <c r="BF19" s="122"/>
    </row>
    <row r="20" spans="1:58" s="33" customFormat="1" ht="112.5" customHeight="1" x14ac:dyDescent="0.2">
      <c r="A20" s="42">
        <v>10</v>
      </c>
      <c r="B20" s="51">
        <v>2</v>
      </c>
      <c r="C20" s="51" t="s">
        <v>89</v>
      </c>
      <c r="D20" s="51" t="s">
        <v>90</v>
      </c>
      <c r="E20" s="55" t="s">
        <v>91</v>
      </c>
      <c r="F20" s="55" t="s">
        <v>92</v>
      </c>
      <c r="G20" s="65">
        <v>43100</v>
      </c>
      <c r="H20" s="56" t="s">
        <v>35</v>
      </c>
      <c r="I20" s="55" t="s">
        <v>93</v>
      </c>
      <c r="J20" s="57" t="s">
        <v>94</v>
      </c>
      <c r="K20" s="58" t="s">
        <v>95</v>
      </c>
      <c r="L20" s="70" t="s">
        <v>96</v>
      </c>
      <c r="M20" s="132">
        <v>1.06</v>
      </c>
      <c r="N20" s="97">
        <v>1</v>
      </c>
      <c r="O20" s="49" t="s">
        <v>97</v>
      </c>
      <c r="P20" s="49">
        <v>0.5</v>
      </c>
      <c r="Q20" s="49" t="s">
        <v>97</v>
      </c>
      <c r="R20" s="49">
        <v>0.5</v>
      </c>
      <c r="S20" s="40" t="s">
        <v>79</v>
      </c>
      <c r="T20" s="40" t="s">
        <v>79</v>
      </c>
      <c r="U20" s="320"/>
      <c r="V20" s="302">
        <v>13</v>
      </c>
      <c r="W20" s="302">
        <v>80</v>
      </c>
      <c r="X20" s="317">
        <f>SUM(V20/W20)</f>
        <v>0.16250000000000001</v>
      </c>
      <c r="Y20" s="302" t="s">
        <v>79</v>
      </c>
      <c r="Z20" s="302" t="s">
        <v>79</v>
      </c>
      <c r="AA20" s="320"/>
      <c r="AB20" s="40">
        <v>82</v>
      </c>
      <c r="AC20" s="40">
        <v>80</v>
      </c>
      <c r="AD20" s="317">
        <f>SUM(AB20/AC20)</f>
        <v>1.0249999999999999</v>
      </c>
      <c r="AE20" s="307">
        <f>(AD20)/(P20+R20)</f>
        <v>1.0249999999999999</v>
      </c>
      <c r="AF20" s="304" t="str">
        <f>IF(AE20&lt;80%,"MÍNIMO",IF(AE20&gt;=80%,IF(AE20&lt;90%,"ACEPTABLE",IF(AE20&gt;=90%,"SATISFACTORIO"))))</f>
        <v>SATISFACTORIO</v>
      </c>
      <c r="AG20" s="268" t="s">
        <v>471</v>
      </c>
      <c r="AH20" s="53"/>
      <c r="AI20" s="219" t="s">
        <v>61</v>
      </c>
      <c r="AJ20" s="219" t="s">
        <v>98</v>
      </c>
      <c r="AK20" s="219" t="s">
        <v>99</v>
      </c>
    </row>
    <row r="21" spans="1:58" s="33" customFormat="1" ht="280.5" customHeight="1" x14ac:dyDescent="0.2">
      <c r="A21" s="42">
        <v>11</v>
      </c>
      <c r="B21" s="51">
        <v>2</v>
      </c>
      <c r="C21" s="51" t="s">
        <v>100</v>
      </c>
      <c r="D21" s="51" t="s">
        <v>90</v>
      </c>
      <c r="E21" s="55" t="s">
        <v>101</v>
      </c>
      <c r="F21" s="64" t="s">
        <v>102</v>
      </c>
      <c r="G21" s="65">
        <v>43100</v>
      </c>
      <c r="H21" s="56" t="s">
        <v>36</v>
      </c>
      <c r="I21" s="55" t="s">
        <v>103</v>
      </c>
      <c r="J21" s="57" t="s">
        <v>104</v>
      </c>
      <c r="K21" s="56" t="s">
        <v>105</v>
      </c>
      <c r="L21" s="70" t="s">
        <v>96</v>
      </c>
      <c r="M21" s="132">
        <v>0.89</v>
      </c>
      <c r="N21" s="92">
        <v>0.9</v>
      </c>
      <c r="O21" s="40" t="s">
        <v>97</v>
      </c>
      <c r="P21" s="40" t="s">
        <v>97</v>
      </c>
      <c r="Q21" s="40" t="s">
        <v>97</v>
      </c>
      <c r="R21" s="49">
        <v>0.9</v>
      </c>
      <c r="S21" s="40" t="s">
        <v>79</v>
      </c>
      <c r="T21" s="40" t="s">
        <v>79</v>
      </c>
      <c r="U21" s="320"/>
      <c r="V21" s="40" t="s">
        <v>79</v>
      </c>
      <c r="W21" s="40" t="s">
        <v>79</v>
      </c>
      <c r="X21" s="320"/>
      <c r="Y21" s="40" t="s">
        <v>79</v>
      </c>
      <c r="Z21" s="40" t="s">
        <v>79</v>
      </c>
      <c r="AA21" s="320"/>
      <c r="AB21" s="40">
        <v>29</v>
      </c>
      <c r="AC21" s="40">
        <v>32</v>
      </c>
      <c r="AD21" s="317">
        <f>SUM(AB21/AC21)</f>
        <v>0.90625</v>
      </c>
      <c r="AE21" s="308">
        <f>SUM(AD21/R21)</f>
        <v>1.0069444444444444</v>
      </c>
      <c r="AF21" s="304" t="str">
        <f>IF(AE21&lt;60%,"MÍNIMO",IF(AE21&gt;=60%,IF(AE21&lt;90%,"ACEPTABLE",IF(AE21&gt;=90%,"SATISFACTORIO"))))</f>
        <v>SATISFACTORIO</v>
      </c>
      <c r="AG21" s="268" t="s">
        <v>472</v>
      </c>
      <c r="AH21" s="47"/>
      <c r="AI21" s="220" t="s">
        <v>106</v>
      </c>
      <c r="AJ21" s="220" t="s">
        <v>107</v>
      </c>
      <c r="AK21" s="220" t="s">
        <v>64</v>
      </c>
    </row>
    <row r="22" spans="1:58" s="33" customFormat="1" ht="409.5" customHeight="1" x14ac:dyDescent="0.2">
      <c r="A22" s="42">
        <v>12</v>
      </c>
      <c r="B22" s="51">
        <v>2</v>
      </c>
      <c r="C22" s="51" t="s">
        <v>100</v>
      </c>
      <c r="D22" s="51" t="s">
        <v>90</v>
      </c>
      <c r="E22" s="55" t="s">
        <v>91</v>
      </c>
      <c r="F22" s="64" t="s">
        <v>108</v>
      </c>
      <c r="G22" s="65">
        <v>43100</v>
      </c>
      <c r="H22" s="56" t="s">
        <v>36</v>
      </c>
      <c r="I22" s="55" t="s">
        <v>109</v>
      </c>
      <c r="J22" s="57" t="s">
        <v>110</v>
      </c>
      <c r="K22" s="56" t="s">
        <v>111</v>
      </c>
      <c r="L22" s="70" t="s">
        <v>96</v>
      </c>
      <c r="M22" s="132">
        <v>0.87</v>
      </c>
      <c r="N22" s="92">
        <v>0.9</v>
      </c>
      <c r="O22" s="40" t="s">
        <v>97</v>
      </c>
      <c r="P22" s="40" t="s">
        <v>97</v>
      </c>
      <c r="Q22" s="40" t="s">
        <v>97</v>
      </c>
      <c r="R22" s="49">
        <v>0.9</v>
      </c>
      <c r="S22" s="40" t="s">
        <v>79</v>
      </c>
      <c r="T22" s="40" t="s">
        <v>79</v>
      </c>
      <c r="U22" s="320"/>
      <c r="V22" s="40" t="s">
        <v>79</v>
      </c>
      <c r="W22" s="40" t="s">
        <v>79</v>
      </c>
      <c r="X22" s="320"/>
      <c r="Y22" s="40" t="s">
        <v>79</v>
      </c>
      <c r="Z22" s="40" t="s">
        <v>79</v>
      </c>
      <c r="AA22" s="320"/>
      <c r="AB22" s="40">
        <v>1743</v>
      </c>
      <c r="AC22" s="40">
        <v>2294</v>
      </c>
      <c r="AD22" s="317">
        <f>SUM(AB22/AC22)</f>
        <v>0.75980819529206622</v>
      </c>
      <c r="AE22" s="308">
        <f>SUM(AD22/R22)</f>
        <v>0.84423132810229573</v>
      </c>
      <c r="AF22" s="48" t="str">
        <f>IF(AE22&lt;60%,"MÍNIMO",IF(AE22&gt;=60%,IF(AE22&lt;90%,"ACEPTABLE",IF(AE22&gt;=90%,"SATISFACTORIO"))))</f>
        <v>ACEPTABLE</v>
      </c>
      <c r="AG22" s="268" t="s">
        <v>480</v>
      </c>
      <c r="AH22" s="47"/>
      <c r="AI22" s="219" t="s">
        <v>106</v>
      </c>
      <c r="AJ22" s="219" t="s">
        <v>107</v>
      </c>
      <c r="AK22" s="219" t="s">
        <v>64</v>
      </c>
    </row>
    <row r="23" spans="1:58" s="33" customFormat="1" ht="208.5" customHeight="1" x14ac:dyDescent="0.2">
      <c r="A23" s="42">
        <v>13</v>
      </c>
      <c r="B23" s="51">
        <v>2</v>
      </c>
      <c r="C23" s="51" t="s">
        <v>112</v>
      </c>
      <c r="D23" s="51" t="s">
        <v>90</v>
      </c>
      <c r="E23" s="55" t="s">
        <v>91</v>
      </c>
      <c r="F23" s="55" t="s">
        <v>113</v>
      </c>
      <c r="G23" s="65">
        <v>43100</v>
      </c>
      <c r="H23" s="56" t="s">
        <v>35</v>
      </c>
      <c r="I23" s="55" t="s">
        <v>114</v>
      </c>
      <c r="J23" s="57" t="s">
        <v>115</v>
      </c>
      <c r="K23" s="58" t="s">
        <v>116</v>
      </c>
      <c r="L23" s="70" t="s">
        <v>96</v>
      </c>
      <c r="M23" s="132">
        <v>1.2</v>
      </c>
      <c r="N23" s="97">
        <v>1</v>
      </c>
      <c r="O23" s="40" t="s">
        <v>97</v>
      </c>
      <c r="P23" s="49">
        <v>0.5</v>
      </c>
      <c r="Q23" s="40" t="s">
        <v>97</v>
      </c>
      <c r="R23" s="49">
        <v>0.5</v>
      </c>
      <c r="S23" s="40" t="s">
        <v>79</v>
      </c>
      <c r="T23" s="40" t="s">
        <v>79</v>
      </c>
      <c r="U23" s="320"/>
      <c r="V23" s="40">
        <v>313</v>
      </c>
      <c r="W23" s="40">
        <v>190</v>
      </c>
      <c r="X23" s="317">
        <f>SUM(V23/W23)</f>
        <v>1.6473684210526316</v>
      </c>
      <c r="Y23" s="302">
        <v>426</v>
      </c>
      <c r="Z23" s="302">
        <v>190</v>
      </c>
      <c r="AA23" s="320">
        <f>+Y23/Z23</f>
        <v>2.2421052631578946</v>
      </c>
      <c r="AB23" s="40">
        <v>484</v>
      </c>
      <c r="AC23" s="40">
        <v>470</v>
      </c>
      <c r="AD23" s="317">
        <f>AB23/AC23</f>
        <v>1.0297872340425531</v>
      </c>
      <c r="AE23" s="307">
        <f>(AD23)/(P23+R23)</f>
        <v>1.0297872340425531</v>
      </c>
      <c r="AF23" s="304" t="str">
        <f>IF(AE23&lt;80%,"MÍNIMO",IF(AE23&gt;=80%,IF(AE23&lt;90%,"ACEPTABLE",IF(AE23&gt;=90%,"SATISFACTORIO"))))</f>
        <v>SATISFACTORIO</v>
      </c>
      <c r="AG23" s="299" t="s">
        <v>473</v>
      </c>
      <c r="AH23" s="54"/>
      <c r="AI23" s="219" t="s">
        <v>61</v>
      </c>
      <c r="AJ23" s="219" t="s">
        <v>98</v>
      </c>
      <c r="AK23" s="219" t="s">
        <v>99</v>
      </c>
    </row>
    <row r="24" spans="1:58" s="33" customFormat="1" ht="127.5" x14ac:dyDescent="0.2">
      <c r="A24" s="42">
        <v>14</v>
      </c>
      <c r="B24" s="51">
        <v>2</v>
      </c>
      <c r="C24" s="51" t="s">
        <v>117</v>
      </c>
      <c r="D24" s="51" t="s">
        <v>90</v>
      </c>
      <c r="E24" s="55" t="s">
        <v>91</v>
      </c>
      <c r="F24" s="55" t="s">
        <v>118</v>
      </c>
      <c r="G24" s="344">
        <v>43100</v>
      </c>
      <c r="H24" s="52" t="s">
        <v>35</v>
      </c>
      <c r="I24" s="47" t="s">
        <v>119</v>
      </c>
      <c r="J24" s="345" t="s">
        <v>120</v>
      </c>
      <c r="K24" s="346" t="s">
        <v>121</v>
      </c>
      <c r="L24" s="347" t="s">
        <v>96</v>
      </c>
      <c r="M24" s="348">
        <v>1</v>
      </c>
      <c r="N24" s="349">
        <v>1</v>
      </c>
      <c r="O24" s="302" t="s">
        <v>97</v>
      </c>
      <c r="P24" s="350">
        <v>0.5</v>
      </c>
      <c r="Q24" s="302" t="s">
        <v>97</v>
      </c>
      <c r="R24" s="350">
        <v>0.5</v>
      </c>
      <c r="S24" s="302" t="s">
        <v>79</v>
      </c>
      <c r="T24" s="302" t="s">
        <v>79</v>
      </c>
      <c r="U24" s="320"/>
      <c r="V24" s="302">
        <v>13</v>
      </c>
      <c r="W24" s="302">
        <v>20</v>
      </c>
      <c r="X24" s="317">
        <f>SUM(V24/W24)</f>
        <v>0.65</v>
      </c>
      <c r="Y24" s="302">
        <v>14</v>
      </c>
      <c r="Z24" s="302">
        <v>20</v>
      </c>
      <c r="AA24" s="320">
        <f>+Y24/Z24</f>
        <v>0.7</v>
      </c>
      <c r="AB24" s="302">
        <v>20</v>
      </c>
      <c r="AC24" s="302">
        <v>20</v>
      </c>
      <c r="AD24" s="317">
        <f>AB24/AC24</f>
        <v>1</v>
      </c>
      <c r="AE24" s="307">
        <f>(AD24)/(P24+R24)</f>
        <v>1</v>
      </c>
      <c r="AF24" s="304" t="str">
        <f>IF(AE24&lt;80%,"MÍNIMO",IF(AE24&gt;=80%,IF(AE24&lt;90%,"ACEPTABLE",IF(AE24&gt;=90%,"SATISFACTORIO"))))</f>
        <v>SATISFACTORIO</v>
      </c>
      <c r="AG24" s="299" t="s">
        <v>483</v>
      </c>
      <c r="AH24" s="54"/>
      <c r="AI24" s="219" t="s">
        <v>61</v>
      </c>
      <c r="AJ24" s="219" t="s">
        <v>98</v>
      </c>
      <c r="AK24" s="219" t="s">
        <v>99</v>
      </c>
    </row>
    <row r="25" spans="1:58" s="33" customFormat="1" ht="89.25" x14ac:dyDescent="0.2">
      <c r="A25" s="42">
        <v>15</v>
      </c>
      <c r="B25" s="51">
        <v>2</v>
      </c>
      <c r="C25" s="51" t="s">
        <v>100</v>
      </c>
      <c r="D25" s="51" t="s">
        <v>90</v>
      </c>
      <c r="E25" s="55" t="s">
        <v>101</v>
      </c>
      <c r="F25" s="64" t="s">
        <v>122</v>
      </c>
      <c r="G25" s="65">
        <v>43100</v>
      </c>
      <c r="H25" s="56" t="s">
        <v>35</v>
      </c>
      <c r="I25" s="135" t="s">
        <v>123</v>
      </c>
      <c r="J25" s="57" t="s">
        <v>124</v>
      </c>
      <c r="K25" s="56" t="s">
        <v>125</v>
      </c>
      <c r="L25" s="70" t="s">
        <v>96</v>
      </c>
      <c r="M25" s="136" t="s">
        <v>97</v>
      </c>
      <c r="N25" s="137">
        <v>1</v>
      </c>
      <c r="O25" s="59">
        <v>0.33300000000000002</v>
      </c>
      <c r="P25" s="59">
        <v>0.33300000000000002</v>
      </c>
      <c r="Q25" s="59">
        <v>0.34</v>
      </c>
      <c r="R25" s="51" t="s">
        <v>97</v>
      </c>
      <c r="S25" s="60">
        <v>1</v>
      </c>
      <c r="T25" s="60">
        <v>3</v>
      </c>
      <c r="U25" s="317">
        <f>SUM(S25/T25)</f>
        <v>0.33333333333333331</v>
      </c>
      <c r="V25" s="60">
        <v>2</v>
      </c>
      <c r="W25" s="60">
        <v>3</v>
      </c>
      <c r="X25" s="317">
        <f>SUM(V25/W25)</f>
        <v>0.66666666666666663</v>
      </c>
      <c r="Y25" s="60">
        <v>3</v>
      </c>
      <c r="Z25" s="60">
        <v>3</v>
      </c>
      <c r="AA25" s="317">
        <f>SUM(Y25/Z25)</f>
        <v>1</v>
      </c>
      <c r="AB25" s="138" t="s">
        <v>79</v>
      </c>
      <c r="AC25" s="138" t="s">
        <v>79</v>
      </c>
      <c r="AD25" s="337" t="s">
        <v>97</v>
      </c>
      <c r="AE25" s="309">
        <f>+AA25/N25</f>
        <v>1</v>
      </c>
      <c r="AF25" s="304" t="str">
        <f t="shared" ref="AF25:AF30" si="1">IF(AE25&lt;80%,"MÍNIMO",IF(AE25&gt;=80%,IF(AE25&lt;90%,"ACEPTABLE",IF(AE25&gt;=90%,"SATISFACTORIO"))))</f>
        <v>SATISFACTORIO</v>
      </c>
      <c r="AG25" s="299" t="s">
        <v>474</v>
      </c>
      <c r="AH25" s="61"/>
      <c r="AI25" s="221" t="s">
        <v>61</v>
      </c>
      <c r="AJ25" s="221" t="s">
        <v>126</v>
      </c>
      <c r="AK25" s="221" t="s">
        <v>127</v>
      </c>
    </row>
    <row r="26" spans="1:58" s="33" customFormat="1" ht="116.25" customHeight="1" x14ac:dyDescent="0.2">
      <c r="A26" s="42">
        <v>16</v>
      </c>
      <c r="B26" s="51">
        <v>2</v>
      </c>
      <c r="C26" s="51" t="s">
        <v>100</v>
      </c>
      <c r="D26" s="51" t="s">
        <v>90</v>
      </c>
      <c r="E26" s="55" t="s">
        <v>101</v>
      </c>
      <c r="F26" s="64" t="s">
        <v>128</v>
      </c>
      <c r="G26" s="65">
        <v>43100</v>
      </c>
      <c r="H26" s="56" t="s">
        <v>35</v>
      </c>
      <c r="I26" s="55" t="s">
        <v>129</v>
      </c>
      <c r="J26" s="51" t="s">
        <v>130</v>
      </c>
      <c r="K26" s="56" t="s">
        <v>131</v>
      </c>
      <c r="L26" s="70" t="s">
        <v>96</v>
      </c>
      <c r="M26" s="136" t="s">
        <v>97</v>
      </c>
      <c r="N26" s="137">
        <v>1</v>
      </c>
      <c r="O26" s="59">
        <v>0.33300000000000002</v>
      </c>
      <c r="P26" s="59">
        <v>0.33300000000000002</v>
      </c>
      <c r="Q26" s="59">
        <v>0.34</v>
      </c>
      <c r="R26" s="51" t="s">
        <v>97</v>
      </c>
      <c r="S26" s="60">
        <v>1</v>
      </c>
      <c r="T26" s="60">
        <v>3</v>
      </c>
      <c r="U26" s="317">
        <f>SUM(S26/T26)</f>
        <v>0.33333333333333331</v>
      </c>
      <c r="V26" s="60">
        <v>2</v>
      </c>
      <c r="W26" s="60">
        <v>3</v>
      </c>
      <c r="X26" s="317">
        <f>SUM(V26/W26)</f>
        <v>0.66666666666666663</v>
      </c>
      <c r="Y26" s="291">
        <v>2</v>
      </c>
      <c r="Z26" s="291">
        <v>3</v>
      </c>
      <c r="AA26" s="317">
        <v>0.67</v>
      </c>
      <c r="AB26" s="138">
        <v>3</v>
      </c>
      <c r="AC26" s="138">
        <v>3</v>
      </c>
      <c r="AD26" s="337">
        <v>1</v>
      </c>
      <c r="AE26" s="309">
        <f>+AD26/N26</f>
        <v>1</v>
      </c>
      <c r="AF26" s="304" t="str">
        <f t="shared" si="1"/>
        <v>SATISFACTORIO</v>
      </c>
      <c r="AG26" s="299" t="s">
        <v>475</v>
      </c>
      <c r="AH26" s="61"/>
      <c r="AI26" s="221" t="s">
        <v>61</v>
      </c>
      <c r="AJ26" s="221" t="s">
        <v>126</v>
      </c>
      <c r="AK26" s="221" t="s">
        <v>127</v>
      </c>
    </row>
    <row r="27" spans="1:58" s="33" customFormat="1" ht="290.25" customHeight="1" x14ac:dyDescent="0.2">
      <c r="A27" s="42">
        <v>17</v>
      </c>
      <c r="B27" s="57">
        <v>2</v>
      </c>
      <c r="C27" s="57" t="s">
        <v>89</v>
      </c>
      <c r="D27" s="51" t="s">
        <v>90</v>
      </c>
      <c r="E27" s="57" t="s">
        <v>132</v>
      </c>
      <c r="F27" s="64" t="s">
        <v>133</v>
      </c>
      <c r="G27" s="65">
        <v>43100</v>
      </c>
      <c r="H27" s="51" t="s">
        <v>134</v>
      </c>
      <c r="I27" s="64" t="s">
        <v>135</v>
      </c>
      <c r="J27" s="64" t="s">
        <v>136</v>
      </c>
      <c r="K27" s="66" t="s">
        <v>137</v>
      </c>
      <c r="L27" s="70" t="s">
        <v>96</v>
      </c>
      <c r="M27" s="136">
        <v>1</v>
      </c>
      <c r="N27" s="56">
        <v>1</v>
      </c>
      <c r="O27" s="67">
        <v>0.17</v>
      </c>
      <c r="P27" s="67">
        <v>0.33</v>
      </c>
      <c r="Q27" s="67">
        <v>0.17</v>
      </c>
      <c r="R27" s="67">
        <v>0.33</v>
      </c>
      <c r="S27" s="60">
        <v>1</v>
      </c>
      <c r="T27" s="60">
        <v>6</v>
      </c>
      <c r="U27" s="317">
        <f>SUM(S27/T27)</f>
        <v>0.16666666666666666</v>
      </c>
      <c r="V27" s="60">
        <v>3</v>
      </c>
      <c r="W27" s="60">
        <v>6</v>
      </c>
      <c r="X27" s="317">
        <f>SUM(V27/W27)</f>
        <v>0.5</v>
      </c>
      <c r="Y27" s="60">
        <v>4</v>
      </c>
      <c r="Z27" s="60">
        <v>6</v>
      </c>
      <c r="AA27" s="317">
        <f>SUM(Y27/Z27)</f>
        <v>0.66666666666666663</v>
      </c>
      <c r="AB27" s="60">
        <v>6</v>
      </c>
      <c r="AC27" s="60">
        <v>6</v>
      </c>
      <c r="AD27" s="337">
        <f>AB27/AC27</f>
        <v>1</v>
      </c>
      <c r="AE27" s="309">
        <f>SUM(AD27)/(O27+P27+Q27+R27)</f>
        <v>1</v>
      </c>
      <c r="AF27" s="304" t="str">
        <f t="shared" si="1"/>
        <v>SATISFACTORIO</v>
      </c>
      <c r="AG27" s="351" t="s">
        <v>459</v>
      </c>
      <c r="AH27" s="62"/>
      <c r="AI27" s="223" t="s">
        <v>138</v>
      </c>
      <c r="AJ27" s="224" t="s">
        <v>139</v>
      </c>
      <c r="AK27" s="224" t="s">
        <v>64</v>
      </c>
    </row>
    <row r="28" spans="1:58" s="33" customFormat="1" ht="145.5" customHeight="1" x14ac:dyDescent="0.2">
      <c r="A28" s="42">
        <v>18</v>
      </c>
      <c r="B28" s="57">
        <v>2</v>
      </c>
      <c r="C28" s="57" t="s">
        <v>89</v>
      </c>
      <c r="D28" s="51" t="s">
        <v>90</v>
      </c>
      <c r="E28" s="57" t="s">
        <v>132</v>
      </c>
      <c r="F28" s="64" t="s">
        <v>140</v>
      </c>
      <c r="G28" s="65">
        <v>43100</v>
      </c>
      <c r="H28" s="56" t="s">
        <v>36</v>
      </c>
      <c r="I28" s="64" t="s">
        <v>141</v>
      </c>
      <c r="J28" s="64" t="s">
        <v>142</v>
      </c>
      <c r="K28" s="55" t="s">
        <v>143</v>
      </c>
      <c r="L28" s="70" t="s">
        <v>96</v>
      </c>
      <c r="M28" s="136" t="s">
        <v>97</v>
      </c>
      <c r="N28" s="68">
        <v>1</v>
      </c>
      <c r="O28" s="60" t="s">
        <v>97</v>
      </c>
      <c r="P28" s="60" t="s">
        <v>97</v>
      </c>
      <c r="Q28" s="60" t="s">
        <v>97</v>
      </c>
      <c r="R28" s="68">
        <v>1</v>
      </c>
      <c r="S28" s="60" t="s">
        <v>79</v>
      </c>
      <c r="T28" s="60" t="s">
        <v>79</v>
      </c>
      <c r="U28" s="317"/>
      <c r="V28" s="60" t="s">
        <v>79</v>
      </c>
      <c r="W28" s="60" t="s">
        <v>79</v>
      </c>
      <c r="X28" s="317"/>
      <c r="Y28" s="60" t="s">
        <v>79</v>
      </c>
      <c r="Z28" s="60" t="s">
        <v>79</v>
      </c>
      <c r="AA28" s="317"/>
      <c r="AB28" s="60">
        <v>190</v>
      </c>
      <c r="AC28" s="60">
        <v>209</v>
      </c>
      <c r="AD28" s="337">
        <f>AB28/AC28</f>
        <v>0.90909090909090906</v>
      </c>
      <c r="AE28" s="309">
        <f>SUM(AD28/R28)</f>
        <v>0.90909090909090906</v>
      </c>
      <c r="AF28" s="304" t="str">
        <f t="shared" si="1"/>
        <v>SATISFACTORIO</v>
      </c>
      <c r="AG28" s="352" t="s">
        <v>144</v>
      </c>
      <c r="AH28" s="63" t="s">
        <v>79</v>
      </c>
      <c r="AI28" s="56" t="s">
        <v>138</v>
      </c>
      <c r="AJ28" s="51" t="s">
        <v>139</v>
      </c>
      <c r="AK28" s="51" t="s">
        <v>64</v>
      </c>
    </row>
    <row r="29" spans="1:58" s="33" customFormat="1" ht="111.75" customHeight="1" x14ac:dyDescent="0.2">
      <c r="A29" s="42">
        <v>19</v>
      </c>
      <c r="B29" s="57">
        <v>2</v>
      </c>
      <c r="C29" s="57" t="s">
        <v>89</v>
      </c>
      <c r="D29" s="51" t="s">
        <v>90</v>
      </c>
      <c r="E29" s="57" t="s">
        <v>132</v>
      </c>
      <c r="F29" s="64" t="s">
        <v>145</v>
      </c>
      <c r="G29" s="65">
        <v>43100</v>
      </c>
      <c r="H29" s="56" t="s">
        <v>36</v>
      </c>
      <c r="I29" s="64" t="s">
        <v>146</v>
      </c>
      <c r="J29" s="69" t="s">
        <v>147</v>
      </c>
      <c r="K29" s="69" t="s">
        <v>148</v>
      </c>
      <c r="L29" s="70" t="s">
        <v>96</v>
      </c>
      <c r="M29" s="136" t="s">
        <v>97</v>
      </c>
      <c r="N29" s="68">
        <v>1</v>
      </c>
      <c r="O29" s="60" t="s">
        <v>149</v>
      </c>
      <c r="P29" s="60" t="s">
        <v>149</v>
      </c>
      <c r="Q29" s="60" t="s">
        <v>149</v>
      </c>
      <c r="R29" s="68">
        <v>1</v>
      </c>
      <c r="S29" s="60" t="s">
        <v>79</v>
      </c>
      <c r="T29" s="60" t="s">
        <v>79</v>
      </c>
      <c r="U29" s="317"/>
      <c r="V29" s="60" t="s">
        <v>79</v>
      </c>
      <c r="W29" s="60" t="s">
        <v>79</v>
      </c>
      <c r="X29" s="317"/>
      <c r="Y29" s="60" t="s">
        <v>79</v>
      </c>
      <c r="Z29" s="60" t="s">
        <v>79</v>
      </c>
      <c r="AA29" s="317"/>
      <c r="AB29" s="60">
        <v>31</v>
      </c>
      <c r="AC29" s="60">
        <v>44</v>
      </c>
      <c r="AD29" s="337">
        <f>AB29/AC29</f>
        <v>0.70454545454545459</v>
      </c>
      <c r="AE29" s="309">
        <f>SUM(AD29/R29)</f>
        <v>0.70454545454545459</v>
      </c>
      <c r="AF29" s="222" t="str">
        <f t="shared" si="1"/>
        <v>MÍNIMO</v>
      </c>
      <c r="AG29" s="352" t="s">
        <v>150</v>
      </c>
      <c r="AH29" s="63" t="s">
        <v>79</v>
      </c>
      <c r="AI29" s="56" t="s">
        <v>138</v>
      </c>
      <c r="AJ29" s="51" t="s">
        <v>139</v>
      </c>
      <c r="AK29" s="51" t="s">
        <v>64</v>
      </c>
    </row>
    <row r="30" spans="1:58" s="33" customFormat="1" ht="141.75" customHeight="1" x14ac:dyDescent="0.2">
      <c r="A30" s="42">
        <v>20</v>
      </c>
      <c r="B30" s="70">
        <v>2</v>
      </c>
      <c r="C30" s="70" t="s">
        <v>117</v>
      </c>
      <c r="D30" s="51" t="s">
        <v>90</v>
      </c>
      <c r="E30" s="71" t="s">
        <v>132</v>
      </c>
      <c r="F30" s="72" t="s">
        <v>151</v>
      </c>
      <c r="G30" s="73">
        <v>43100</v>
      </c>
      <c r="H30" s="70" t="s">
        <v>35</v>
      </c>
      <c r="I30" s="74" t="s">
        <v>152</v>
      </c>
      <c r="J30" s="74" t="s">
        <v>153</v>
      </c>
      <c r="K30" s="74" t="s">
        <v>154</v>
      </c>
      <c r="L30" s="70" t="s">
        <v>96</v>
      </c>
      <c r="M30" s="136" t="s">
        <v>149</v>
      </c>
      <c r="N30" s="75">
        <v>1</v>
      </c>
      <c r="O30" s="60" t="s">
        <v>97</v>
      </c>
      <c r="P30" s="68">
        <v>0.5</v>
      </c>
      <c r="Q30" s="60" t="s">
        <v>97</v>
      </c>
      <c r="R30" s="68">
        <v>0.5</v>
      </c>
      <c r="S30" s="60" t="s">
        <v>79</v>
      </c>
      <c r="T30" s="60" t="s">
        <v>79</v>
      </c>
      <c r="U30" s="317"/>
      <c r="V30" s="60">
        <v>1</v>
      </c>
      <c r="W30" s="60">
        <v>2</v>
      </c>
      <c r="X30" s="317">
        <f>SUM(V30/W30)</f>
        <v>0.5</v>
      </c>
      <c r="Y30" s="60" t="s">
        <v>79</v>
      </c>
      <c r="Z30" s="60" t="s">
        <v>79</v>
      </c>
      <c r="AA30" s="317"/>
      <c r="AB30" s="60">
        <v>2</v>
      </c>
      <c r="AC30" s="60">
        <v>2</v>
      </c>
      <c r="AD30" s="337">
        <f>AB30/AC30</f>
        <v>1</v>
      </c>
      <c r="AE30" s="309">
        <f>+(AD30)/(P30+R30)</f>
        <v>1</v>
      </c>
      <c r="AF30" s="304" t="str">
        <f t="shared" si="1"/>
        <v>SATISFACTORIO</v>
      </c>
      <c r="AG30" s="352" t="s">
        <v>489</v>
      </c>
      <c r="AH30" s="63"/>
      <c r="AI30" s="56" t="s">
        <v>138</v>
      </c>
      <c r="AJ30" s="51" t="s">
        <v>139</v>
      </c>
      <c r="AK30" s="51" t="s">
        <v>64</v>
      </c>
    </row>
    <row r="31" spans="1:58" s="33" customFormat="1" ht="263.25" customHeight="1" x14ac:dyDescent="0.2">
      <c r="A31" s="89">
        <v>21</v>
      </c>
      <c r="B31" s="51">
        <v>1</v>
      </c>
      <c r="C31" s="51" t="s">
        <v>235</v>
      </c>
      <c r="D31" s="51" t="s">
        <v>247</v>
      </c>
      <c r="E31" s="64" t="s">
        <v>236</v>
      </c>
      <c r="F31" s="55" t="s">
        <v>237</v>
      </c>
      <c r="G31" s="91">
        <v>43098</v>
      </c>
      <c r="H31" s="57" t="s">
        <v>35</v>
      </c>
      <c r="I31" s="55" t="s">
        <v>238</v>
      </c>
      <c r="J31" s="55" t="s">
        <v>239</v>
      </c>
      <c r="K31" s="55" t="s">
        <v>240</v>
      </c>
      <c r="L31" s="70" t="s">
        <v>96</v>
      </c>
      <c r="M31" s="94">
        <v>4</v>
      </c>
      <c r="N31" s="92">
        <v>1</v>
      </c>
      <c r="O31" s="92" t="s">
        <v>149</v>
      </c>
      <c r="P31" s="92" t="s">
        <v>149</v>
      </c>
      <c r="Q31" s="92" t="s">
        <v>149</v>
      </c>
      <c r="R31" s="92">
        <v>1</v>
      </c>
      <c r="S31" s="93" t="s">
        <v>79</v>
      </c>
      <c r="T31" s="93" t="s">
        <v>79</v>
      </c>
      <c r="U31" s="321"/>
      <c r="V31" s="94" t="s">
        <v>79</v>
      </c>
      <c r="W31" s="94" t="s">
        <v>79</v>
      </c>
      <c r="X31" s="321"/>
      <c r="Y31" s="94" t="s">
        <v>79</v>
      </c>
      <c r="Z31" s="94" t="s">
        <v>79</v>
      </c>
      <c r="AA31" s="321"/>
      <c r="AB31" s="94">
        <v>3</v>
      </c>
      <c r="AC31" s="94">
        <v>3</v>
      </c>
      <c r="AD31" s="322">
        <f>+AB31/AC31</f>
        <v>1</v>
      </c>
      <c r="AE31" s="309">
        <f>SUM(AD31/R31)</f>
        <v>1</v>
      </c>
      <c r="AF31" s="304" t="str">
        <f>IF(AE31&lt;80%,"MÍNIMO",IF(AE31&gt;=80%,IF(AE31&lt;90%,"ACEPTABLE",IF(AE31&gt;=90%,"SATISFACTORIO"))))</f>
        <v>SATISFACTORIO</v>
      </c>
      <c r="AG31" s="269" t="s">
        <v>490</v>
      </c>
      <c r="AH31" s="95"/>
      <c r="AI31" s="51" t="s">
        <v>38</v>
      </c>
      <c r="AJ31" s="51" t="s">
        <v>65</v>
      </c>
      <c r="AK31" s="51" t="s">
        <v>241</v>
      </c>
    </row>
    <row r="32" spans="1:58" s="33" customFormat="1" ht="201" customHeight="1" x14ac:dyDescent="0.2">
      <c r="A32" s="89">
        <v>22</v>
      </c>
      <c r="B32" s="51">
        <v>1</v>
      </c>
      <c r="C32" s="51" t="s">
        <v>235</v>
      </c>
      <c r="D32" s="51" t="s">
        <v>247</v>
      </c>
      <c r="E32" s="64" t="s">
        <v>242</v>
      </c>
      <c r="F32" s="55" t="s">
        <v>243</v>
      </c>
      <c r="G32" s="91">
        <v>42825</v>
      </c>
      <c r="H32" s="57" t="s">
        <v>35</v>
      </c>
      <c r="I32" s="55" t="s">
        <v>244</v>
      </c>
      <c r="J32" s="55" t="s">
        <v>245</v>
      </c>
      <c r="K32" s="55" t="s">
        <v>246</v>
      </c>
      <c r="L32" s="70" t="s">
        <v>96</v>
      </c>
      <c r="M32" s="94">
        <v>12</v>
      </c>
      <c r="N32" s="92">
        <v>1</v>
      </c>
      <c r="O32" s="92">
        <v>1</v>
      </c>
      <c r="P32" s="92" t="s">
        <v>149</v>
      </c>
      <c r="Q32" s="92" t="s">
        <v>149</v>
      </c>
      <c r="R32" s="92" t="s">
        <v>149</v>
      </c>
      <c r="S32" s="94">
        <v>12</v>
      </c>
      <c r="T32" s="94">
        <v>12</v>
      </c>
      <c r="U32" s="322">
        <f>IFERROR(SUM(S32/T32)/O32,0)</f>
        <v>1</v>
      </c>
      <c r="V32" s="94" t="s">
        <v>79</v>
      </c>
      <c r="W32" s="94" t="s">
        <v>79</v>
      </c>
      <c r="X32" s="321"/>
      <c r="Y32" s="94" t="s">
        <v>79</v>
      </c>
      <c r="Z32" s="94" t="s">
        <v>79</v>
      </c>
      <c r="AA32" s="321"/>
      <c r="AB32" s="94" t="s">
        <v>79</v>
      </c>
      <c r="AC32" s="94" t="s">
        <v>79</v>
      </c>
      <c r="AD32" s="321"/>
      <c r="AE32" s="307">
        <f>SUM(U32)/O32</f>
        <v>1</v>
      </c>
      <c r="AF32" s="304" t="str">
        <f>IF(AE32&lt;80%,"MÍNIMO",IF(AE32&gt;=80%,IF(AE32&lt;90%,"ACEPTABLE",IF(AE32&gt;=90%,"SATISFACTORIO"))))</f>
        <v>SATISFACTORIO</v>
      </c>
      <c r="AG32" s="269" t="s">
        <v>476</v>
      </c>
      <c r="AH32" s="95"/>
      <c r="AI32" s="51" t="s">
        <v>38</v>
      </c>
      <c r="AJ32" s="51" t="s">
        <v>65</v>
      </c>
      <c r="AK32" s="51" t="s">
        <v>241</v>
      </c>
    </row>
    <row r="33" spans="1:38" s="33" customFormat="1" ht="312" x14ac:dyDescent="0.2">
      <c r="A33" s="89">
        <v>23</v>
      </c>
      <c r="B33" s="51">
        <v>1</v>
      </c>
      <c r="C33" s="51" t="s">
        <v>235</v>
      </c>
      <c r="D33" s="51" t="s">
        <v>247</v>
      </c>
      <c r="E33" s="64" t="s">
        <v>248</v>
      </c>
      <c r="F33" s="55" t="s">
        <v>249</v>
      </c>
      <c r="G33" s="91">
        <v>42825</v>
      </c>
      <c r="H33" s="57" t="s">
        <v>35</v>
      </c>
      <c r="I33" s="55" t="s">
        <v>250</v>
      </c>
      <c r="J33" s="55" t="s">
        <v>251</v>
      </c>
      <c r="K33" s="55" t="s">
        <v>252</v>
      </c>
      <c r="L33" s="70" t="s">
        <v>96</v>
      </c>
      <c r="M33" s="94">
        <v>2</v>
      </c>
      <c r="N33" s="92">
        <v>1</v>
      </c>
      <c r="O33" s="92">
        <v>1</v>
      </c>
      <c r="P33" s="92" t="s">
        <v>149</v>
      </c>
      <c r="Q33" s="92" t="s">
        <v>149</v>
      </c>
      <c r="R33" s="92" t="s">
        <v>149</v>
      </c>
      <c r="S33" s="94">
        <v>2</v>
      </c>
      <c r="T33" s="94">
        <v>2</v>
      </c>
      <c r="U33" s="322">
        <f>SUM(S33/T33)</f>
        <v>1</v>
      </c>
      <c r="V33" s="94" t="s">
        <v>79</v>
      </c>
      <c r="W33" s="94" t="s">
        <v>79</v>
      </c>
      <c r="X33" s="321"/>
      <c r="Y33" s="94" t="s">
        <v>79</v>
      </c>
      <c r="Z33" s="94" t="s">
        <v>79</v>
      </c>
      <c r="AA33" s="321"/>
      <c r="AB33" s="94" t="s">
        <v>79</v>
      </c>
      <c r="AC33" s="94" t="s">
        <v>79</v>
      </c>
      <c r="AD33" s="321"/>
      <c r="AE33" s="307">
        <f>SUM(U33)/O33</f>
        <v>1</v>
      </c>
      <c r="AF33" s="304" t="str">
        <f>IF(AE33&lt;80%,"MÍNIMO",IF(AE33&gt;=80%,IF(AE33&lt;90%,"ACEPTABLE",IF(AE33&gt;=90%,"SATISFACTORIO"))))</f>
        <v>SATISFACTORIO</v>
      </c>
      <c r="AG33" s="270" t="s">
        <v>253</v>
      </c>
      <c r="AH33" s="83"/>
      <c r="AI33" s="96" t="s">
        <v>38</v>
      </c>
      <c r="AJ33" s="96" t="s">
        <v>65</v>
      </c>
      <c r="AK33" s="96" t="s">
        <v>241</v>
      </c>
    </row>
    <row r="34" spans="1:38" s="33" customFormat="1" ht="108" x14ac:dyDescent="0.2">
      <c r="A34" s="89">
        <v>24</v>
      </c>
      <c r="B34" s="51">
        <v>1</v>
      </c>
      <c r="C34" s="51" t="s">
        <v>254</v>
      </c>
      <c r="D34" s="51" t="s">
        <v>247</v>
      </c>
      <c r="E34" s="64" t="s">
        <v>248</v>
      </c>
      <c r="F34" s="55" t="s">
        <v>255</v>
      </c>
      <c r="G34" s="91">
        <v>43098</v>
      </c>
      <c r="H34" s="57" t="s">
        <v>35</v>
      </c>
      <c r="I34" s="55" t="s">
        <v>256</v>
      </c>
      <c r="J34" s="55" t="s">
        <v>257</v>
      </c>
      <c r="K34" s="55" t="s">
        <v>258</v>
      </c>
      <c r="L34" s="70" t="s">
        <v>96</v>
      </c>
      <c r="M34" s="94">
        <v>1</v>
      </c>
      <c r="N34" s="92">
        <v>1</v>
      </c>
      <c r="O34" s="94" t="s">
        <v>149</v>
      </c>
      <c r="P34" s="94" t="s">
        <v>149</v>
      </c>
      <c r="Q34" s="94" t="s">
        <v>149</v>
      </c>
      <c r="R34" s="97">
        <v>1</v>
      </c>
      <c r="S34" s="93" t="s">
        <v>79</v>
      </c>
      <c r="T34" s="93" t="s">
        <v>79</v>
      </c>
      <c r="U34" s="321"/>
      <c r="V34" s="94" t="s">
        <v>79</v>
      </c>
      <c r="W34" s="94" t="s">
        <v>79</v>
      </c>
      <c r="X34" s="321"/>
      <c r="Y34" s="94" t="s">
        <v>79</v>
      </c>
      <c r="Z34" s="94" t="s">
        <v>79</v>
      </c>
      <c r="AA34" s="321"/>
      <c r="AB34" s="98">
        <v>1</v>
      </c>
      <c r="AC34" s="94">
        <v>0</v>
      </c>
      <c r="AD34" s="338">
        <f>+AB34/AB34</f>
        <v>1</v>
      </c>
      <c r="AE34" s="309">
        <f>SUM(AD34/R34)</f>
        <v>1</v>
      </c>
      <c r="AF34" s="304" t="str">
        <f>IF(AE34=0%,"MÍNIMO",IF(AE34=100%,"SATISFACTORIO"))</f>
        <v>SATISFACTORIO</v>
      </c>
      <c r="AG34" s="270" t="s">
        <v>259</v>
      </c>
      <c r="AH34" s="99"/>
      <c r="AI34" s="51" t="s">
        <v>260</v>
      </c>
      <c r="AJ34" s="51"/>
      <c r="AK34" s="51" t="s">
        <v>202</v>
      </c>
    </row>
    <row r="35" spans="1:38" s="33" customFormat="1" ht="252.75" thickBot="1" x14ac:dyDescent="0.25">
      <c r="A35" s="139">
        <v>25</v>
      </c>
      <c r="B35" s="129">
        <v>1</v>
      </c>
      <c r="C35" s="51" t="s">
        <v>235</v>
      </c>
      <c r="D35" s="51" t="s">
        <v>247</v>
      </c>
      <c r="E35" s="100" t="s">
        <v>261</v>
      </c>
      <c r="F35" s="100" t="s">
        <v>262</v>
      </c>
      <c r="G35" s="140">
        <v>43100</v>
      </c>
      <c r="H35" s="56" t="s">
        <v>36</v>
      </c>
      <c r="I35" s="100" t="s">
        <v>263</v>
      </c>
      <c r="J35" s="100" t="s">
        <v>264</v>
      </c>
      <c r="K35" s="100" t="s">
        <v>265</v>
      </c>
      <c r="L35" s="70" t="s">
        <v>96</v>
      </c>
      <c r="M35" s="141" t="s">
        <v>222</v>
      </c>
      <c r="N35" s="142">
        <v>0.7</v>
      </c>
      <c r="O35" s="101" t="s">
        <v>222</v>
      </c>
      <c r="P35" s="101" t="s">
        <v>222</v>
      </c>
      <c r="Q35" s="101" t="s">
        <v>222</v>
      </c>
      <c r="R35" s="102">
        <v>0.7</v>
      </c>
      <c r="S35" s="103" t="s">
        <v>79</v>
      </c>
      <c r="T35" s="103" t="s">
        <v>79</v>
      </c>
      <c r="U35" s="323"/>
      <c r="V35" s="101" t="s">
        <v>79</v>
      </c>
      <c r="W35" s="101" t="s">
        <v>79</v>
      </c>
      <c r="X35" s="323"/>
      <c r="Y35" s="101" t="s">
        <v>79</v>
      </c>
      <c r="Z35" s="101" t="s">
        <v>79</v>
      </c>
      <c r="AA35" s="323"/>
      <c r="AB35" s="104">
        <f>9+16</f>
        <v>25</v>
      </c>
      <c r="AC35" s="104">
        <f>13+16</f>
        <v>29</v>
      </c>
      <c r="AD35" s="339">
        <f>+AB35/AC35</f>
        <v>0.86206896551724133</v>
      </c>
      <c r="AE35" s="310">
        <f>+AD35/N35</f>
        <v>1.2315270935960592</v>
      </c>
      <c r="AF35" s="305" t="str">
        <f>IF(AE35=0%,"MÍNIMO",IF(AE35&gt;=100%,"SATISFACTORIO"))</f>
        <v>SATISFACTORIO</v>
      </c>
      <c r="AG35" s="271" t="s">
        <v>372</v>
      </c>
      <c r="AH35" s="99"/>
      <c r="AI35" s="51" t="s">
        <v>266</v>
      </c>
      <c r="AJ35" s="51" t="s">
        <v>267</v>
      </c>
      <c r="AK35" s="51" t="s">
        <v>268</v>
      </c>
    </row>
    <row r="36" spans="1:38" s="33" customFormat="1" ht="114" customHeight="1" x14ac:dyDescent="0.2">
      <c r="A36" s="51">
        <v>26</v>
      </c>
      <c r="B36" s="51">
        <v>1</v>
      </c>
      <c r="C36" s="51" t="s">
        <v>284</v>
      </c>
      <c r="D36" s="51" t="s">
        <v>285</v>
      </c>
      <c r="E36" s="51" t="s">
        <v>286</v>
      </c>
      <c r="F36" s="55" t="s">
        <v>287</v>
      </c>
      <c r="G36" s="110">
        <v>43100</v>
      </c>
      <c r="H36" s="111" t="s">
        <v>35</v>
      </c>
      <c r="I36" s="56" t="s">
        <v>288</v>
      </c>
      <c r="J36" s="111" t="s">
        <v>289</v>
      </c>
      <c r="K36" s="112" t="s">
        <v>290</v>
      </c>
      <c r="L36" s="70" t="s">
        <v>96</v>
      </c>
      <c r="M36" s="113">
        <v>0.97</v>
      </c>
      <c r="N36" s="113">
        <v>1</v>
      </c>
      <c r="O36" s="298">
        <v>0.1</v>
      </c>
      <c r="P36" s="298">
        <v>0.41</v>
      </c>
      <c r="Q36" s="298">
        <v>0.18</v>
      </c>
      <c r="R36" s="298">
        <v>0.31</v>
      </c>
      <c r="S36" s="295">
        <v>37</v>
      </c>
      <c r="T36" s="295">
        <v>93</v>
      </c>
      <c r="U36" s="317">
        <f>+S36/T36</f>
        <v>0.39784946236559138</v>
      </c>
      <c r="V36" s="60">
        <v>64</v>
      </c>
      <c r="W36" s="60">
        <v>95</v>
      </c>
      <c r="X36" s="317">
        <v>0.67368421052631577</v>
      </c>
      <c r="Y36" s="60">
        <v>65</v>
      </c>
      <c r="Z36" s="60">
        <v>96</v>
      </c>
      <c r="AA36" s="317">
        <v>0.67708333333333337</v>
      </c>
      <c r="AB36" s="291">
        <v>78</v>
      </c>
      <c r="AC36" s="291">
        <v>96</v>
      </c>
      <c r="AD36" s="340">
        <f>+AB36/AC36</f>
        <v>0.8125</v>
      </c>
      <c r="AE36" s="341">
        <f>SUM(AD36)/(O36+P36+Q36+R36)</f>
        <v>0.8125</v>
      </c>
      <c r="AF36" s="114" t="str">
        <f>IF(AE36&lt;80%,"MÍNIMO",IF(AE36&gt;=80%,IF(AE36&lt;90%,"ACEPTABLE",IF(AE36&gt;=90%,"SATISFACTORIO"))))</f>
        <v>ACEPTABLE</v>
      </c>
      <c r="AG36" s="293" t="s">
        <v>373</v>
      </c>
      <c r="AH36" s="108"/>
      <c r="AI36" s="225" t="s">
        <v>61</v>
      </c>
      <c r="AJ36" s="226" t="s">
        <v>291</v>
      </c>
      <c r="AK36" s="227" t="s">
        <v>292</v>
      </c>
      <c r="AL36" s="130">
        <v>401</v>
      </c>
    </row>
    <row r="37" spans="1:38" s="33" customFormat="1" ht="185.25" customHeight="1" thickBot="1" x14ac:dyDescent="0.25">
      <c r="A37" s="139">
        <v>27</v>
      </c>
      <c r="B37" s="51">
        <v>1</v>
      </c>
      <c r="C37" s="51" t="s">
        <v>284</v>
      </c>
      <c r="D37" s="51" t="s">
        <v>285</v>
      </c>
      <c r="E37" s="51" t="s">
        <v>293</v>
      </c>
      <c r="F37" s="55" t="s">
        <v>294</v>
      </c>
      <c r="G37" s="110">
        <v>43100</v>
      </c>
      <c r="H37" s="111" t="s">
        <v>35</v>
      </c>
      <c r="I37" s="56" t="s">
        <v>295</v>
      </c>
      <c r="J37" s="111" t="s">
        <v>296</v>
      </c>
      <c r="K37" s="112" t="s">
        <v>297</v>
      </c>
      <c r="L37" s="70" t="s">
        <v>96</v>
      </c>
      <c r="M37" s="113" t="s">
        <v>97</v>
      </c>
      <c r="N37" s="113">
        <v>1</v>
      </c>
      <c r="O37" s="68"/>
      <c r="P37" s="68"/>
      <c r="Q37" s="68"/>
      <c r="R37" s="68">
        <v>1</v>
      </c>
      <c r="S37" s="296"/>
      <c r="T37" s="297"/>
      <c r="U37" s="317"/>
      <c r="V37" s="60"/>
      <c r="W37" s="60"/>
      <c r="X37" s="317"/>
      <c r="Y37" s="94"/>
      <c r="Z37" s="94"/>
      <c r="AA37" s="321"/>
      <c r="AB37" s="94">
        <v>7</v>
      </c>
      <c r="AC37" s="94">
        <v>7</v>
      </c>
      <c r="AD37" s="322">
        <f>SUM(AB37/AC37)</f>
        <v>1</v>
      </c>
      <c r="AE37" s="341">
        <f>SUM(AD37)/(O37+P37+Q37+R37)</f>
        <v>1</v>
      </c>
      <c r="AF37" s="303" t="str">
        <f t="shared" ref="AF37" si="2">IF(AD37&lt;80%,"MÍNIMO",IF(AD37&gt;=80%,IF(AD37&lt;90%,"ACEPTABLE",IF(AD37&gt;=90%,"SATISFACTORIO"))))</f>
        <v>SATISFACTORIO</v>
      </c>
      <c r="AG37" s="292" t="s">
        <v>481</v>
      </c>
      <c r="AH37" s="183" t="s">
        <v>79</v>
      </c>
      <c r="AI37" s="225" t="s">
        <v>61</v>
      </c>
      <c r="AJ37" s="226" t="s">
        <v>291</v>
      </c>
      <c r="AK37" s="227" t="s">
        <v>292</v>
      </c>
      <c r="AL37" s="130">
        <v>402</v>
      </c>
    </row>
    <row r="38" spans="1:38" s="33" customFormat="1" ht="140.25" customHeight="1" x14ac:dyDescent="0.2">
      <c r="A38" s="51">
        <v>28</v>
      </c>
      <c r="B38" s="51">
        <v>1</v>
      </c>
      <c r="C38" s="51" t="s">
        <v>284</v>
      </c>
      <c r="D38" s="51" t="s">
        <v>285</v>
      </c>
      <c r="E38" s="51" t="s">
        <v>286</v>
      </c>
      <c r="F38" s="55" t="s">
        <v>298</v>
      </c>
      <c r="G38" s="110">
        <v>43100</v>
      </c>
      <c r="H38" s="111" t="s">
        <v>37</v>
      </c>
      <c r="I38" s="56" t="s">
        <v>299</v>
      </c>
      <c r="J38" s="111" t="s">
        <v>300</v>
      </c>
      <c r="K38" s="112" t="s">
        <v>301</v>
      </c>
      <c r="L38" s="70" t="s">
        <v>96</v>
      </c>
      <c r="M38" s="113">
        <v>0.82</v>
      </c>
      <c r="N38" s="113">
        <v>0.95</v>
      </c>
      <c r="O38" s="68">
        <v>0.95</v>
      </c>
      <c r="P38" s="68">
        <v>0.95</v>
      </c>
      <c r="Q38" s="68">
        <v>0.95</v>
      </c>
      <c r="R38" s="68">
        <v>0.95</v>
      </c>
      <c r="S38" s="295">
        <v>61</v>
      </c>
      <c r="T38" s="295">
        <v>61</v>
      </c>
      <c r="U38" s="317">
        <f>+S38/T38</f>
        <v>1</v>
      </c>
      <c r="V38" s="60">
        <v>125</v>
      </c>
      <c r="W38" s="60">
        <v>125</v>
      </c>
      <c r="X38" s="317">
        <v>1</v>
      </c>
      <c r="Y38" s="60">
        <v>244</v>
      </c>
      <c r="Z38" s="60">
        <v>244</v>
      </c>
      <c r="AA38" s="317">
        <v>1</v>
      </c>
      <c r="AB38" s="60">
        <v>428</v>
      </c>
      <c r="AC38" s="60">
        <v>428</v>
      </c>
      <c r="AD38" s="340">
        <f>+AB38/AC38</f>
        <v>1</v>
      </c>
      <c r="AE38" s="341">
        <f>SUM(AD38)/R38</f>
        <v>1.0526315789473684</v>
      </c>
      <c r="AF38" s="303" t="str">
        <f>IF(AE38&lt;75%,"MÍNIMO",IF(AE38&gt;=75%,IF(AE38&lt;90%,"ACEPTABLE",IF(AE38&gt;=90%,"SATISFACTORIO"))))</f>
        <v>SATISFACTORIO</v>
      </c>
      <c r="AG38" s="293" t="s">
        <v>477</v>
      </c>
      <c r="AH38" s="83"/>
      <c r="AI38" s="225" t="s">
        <v>302</v>
      </c>
      <c r="AJ38" s="226" t="s">
        <v>303</v>
      </c>
      <c r="AK38" s="227" t="s">
        <v>292</v>
      </c>
      <c r="AL38" s="130">
        <v>403</v>
      </c>
    </row>
    <row r="39" spans="1:38" s="33" customFormat="1" ht="152.25" customHeight="1" thickBot="1" x14ac:dyDescent="0.25">
      <c r="A39" s="139">
        <v>29</v>
      </c>
      <c r="B39" s="51">
        <v>1</v>
      </c>
      <c r="C39" s="51" t="s">
        <v>284</v>
      </c>
      <c r="D39" s="51" t="s">
        <v>285</v>
      </c>
      <c r="E39" s="51" t="s">
        <v>286</v>
      </c>
      <c r="F39" s="55" t="s">
        <v>304</v>
      </c>
      <c r="G39" s="110">
        <v>43100</v>
      </c>
      <c r="H39" s="56" t="s">
        <v>36</v>
      </c>
      <c r="I39" s="56" t="s">
        <v>305</v>
      </c>
      <c r="J39" s="111" t="s">
        <v>306</v>
      </c>
      <c r="K39" s="112" t="s">
        <v>491</v>
      </c>
      <c r="L39" s="70" t="s">
        <v>96</v>
      </c>
      <c r="M39" s="113"/>
      <c r="N39" s="113">
        <v>0.4</v>
      </c>
      <c r="O39" s="68">
        <v>0.4</v>
      </c>
      <c r="P39" s="68">
        <v>0.4</v>
      </c>
      <c r="Q39" s="68">
        <v>0.4</v>
      </c>
      <c r="R39" s="68">
        <v>0.4</v>
      </c>
      <c r="S39" s="295">
        <v>42</v>
      </c>
      <c r="T39" s="295">
        <v>124</v>
      </c>
      <c r="U39" s="317">
        <f t="shared" ref="U39:U41" si="3">+S39/T39</f>
        <v>0.33870967741935482</v>
      </c>
      <c r="V39" s="60">
        <v>100</v>
      </c>
      <c r="W39" s="60">
        <v>225</v>
      </c>
      <c r="X39" s="317">
        <v>0.44444444444444442</v>
      </c>
      <c r="Y39" s="60">
        <v>125</v>
      </c>
      <c r="Z39" s="291">
        <v>421</v>
      </c>
      <c r="AA39" s="317">
        <v>0.29691211401425177</v>
      </c>
      <c r="AB39" s="291">
        <v>186</v>
      </c>
      <c r="AC39" s="353">
        <v>378</v>
      </c>
      <c r="AD39" s="340">
        <f>+AB39/AC39</f>
        <v>0.49206349206349204</v>
      </c>
      <c r="AE39" s="341">
        <f>+AD39</f>
        <v>0.49206349206349204</v>
      </c>
      <c r="AF39" s="114" t="str">
        <f>IF(AE39&gt;60%,"MÍNIMO",IF(AE39&lt;=60%,IF(AE39&gt;40%,"ACEPTABLE",IF(AE39&lt;=40%,"SATISFACTORIO"))))</f>
        <v>ACEPTABLE</v>
      </c>
      <c r="AG39" s="354" t="s">
        <v>492</v>
      </c>
      <c r="AH39" s="83"/>
      <c r="AI39" s="225" t="s">
        <v>307</v>
      </c>
      <c r="AJ39" s="226" t="s">
        <v>308</v>
      </c>
      <c r="AK39" s="228" t="s">
        <v>309</v>
      </c>
      <c r="AL39" s="130">
        <v>404</v>
      </c>
    </row>
    <row r="40" spans="1:38" s="33" customFormat="1" ht="126" customHeight="1" x14ac:dyDescent="0.2">
      <c r="A40" s="51">
        <v>30</v>
      </c>
      <c r="B40" s="51">
        <v>1</v>
      </c>
      <c r="C40" s="51">
        <v>1.1000000000000001</v>
      </c>
      <c r="D40" s="51" t="s">
        <v>285</v>
      </c>
      <c r="E40" s="51" t="s">
        <v>310</v>
      </c>
      <c r="F40" s="55" t="s">
        <v>304</v>
      </c>
      <c r="G40" s="125">
        <v>43100</v>
      </c>
      <c r="H40" s="56" t="s">
        <v>36</v>
      </c>
      <c r="I40" s="56" t="s">
        <v>311</v>
      </c>
      <c r="J40" s="111" t="s">
        <v>312</v>
      </c>
      <c r="K40" s="112" t="s">
        <v>493</v>
      </c>
      <c r="L40" s="70" t="s">
        <v>96</v>
      </c>
      <c r="M40" s="113"/>
      <c r="N40" s="113">
        <v>0.4</v>
      </c>
      <c r="O40" s="68">
        <v>0.4</v>
      </c>
      <c r="P40" s="68">
        <v>0.4</v>
      </c>
      <c r="Q40" s="68">
        <v>0.4</v>
      </c>
      <c r="R40" s="68">
        <v>0.4</v>
      </c>
      <c r="S40" s="295">
        <v>1</v>
      </c>
      <c r="T40" s="295">
        <v>42</v>
      </c>
      <c r="U40" s="317">
        <f t="shared" si="3"/>
        <v>2.3809523809523808E-2</v>
      </c>
      <c r="V40" s="60">
        <v>5</v>
      </c>
      <c r="W40" s="60">
        <v>100</v>
      </c>
      <c r="X40" s="317">
        <v>0.05</v>
      </c>
      <c r="Y40" s="60">
        <v>32</v>
      </c>
      <c r="Z40" s="60">
        <v>125</v>
      </c>
      <c r="AA40" s="317">
        <v>0.25600000000000001</v>
      </c>
      <c r="AB40" s="60">
        <v>47</v>
      </c>
      <c r="AC40" s="60">
        <v>186</v>
      </c>
      <c r="AD40" s="340">
        <f>+AB40/AC40</f>
        <v>0.25268817204301075</v>
      </c>
      <c r="AE40" s="341">
        <f>+AD40</f>
        <v>0.25268817204301075</v>
      </c>
      <c r="AF40" s="303" t="str">
        <f>IF(AE40&gt;60%,"MÍNIMO",IF(AE40&lt;=60%,IF(AE40&gt;40%,"ACEPTABLE",IF(AE40&lt;=40%,"SATISFACTORIO"))))</f>
        <v>SATISFACTORIO</v>
      </c>
      <c r="AG40" s="294" t="s">
        <v>482</v>
      </c>
      <c r="AH40" s="83"/>
      <c r="AI40" s="225" t="s">
        <v>307</v>
      </c>
      <c r="AJ40" s="226" t="s">
        <v>308</v>
      </c>
      <c r="AK40" s="228" t="s">
        <v>309</v>
      </c>
      <c r="AL40" s="130">
        <v>405</v>
      </c>
    </row>
    <row r="41" spans="1:38" s="33" customFormat="1" ht="155.25" customHeight="1" thickBot="1" x14ac:dyDescent="0.25">
      <c r="A41" s="139">
        <v>31</v>
      </c>
      <c r="B41" s="51">
        <v>1</v>
      </c>
      <c r="C41" s="51" t="s">
        <v>284</v>
      </c>
      <c r="D41" s="51" t="s">
        <v>285</v>
      </c>
      <c r="E41" s="51" t="s">
        <v>313</v>
      </c>
      <c r="F41" s="55" t="s">
        <v>314</v>
      </c>
      <c r="G41" s="110">
        <v>43100</v>
      </c>
      <c r="H41" s="111" t="s">
        <v>35</v>
      </c>
      <c r="I41" s="56" t="s">
        <v>315</v>
      </c>
      <c r="J41" s="111" t="s">
        <v>316</v>
      </c>
      <c r="K41" s="112" t="s">
        <v>317</v>
      </c>
      <c r="L41" s="70" t="s">
        <v>96</v>
      </c>
      <c r="M41" s="113"/>
      <c r="N41" s="113">
        <v>0.8</v>
      </c>
      <c r="O41" s="68">
        <v>0.8</v>
      </c>
      <c r="P41" s="68">
        <v>0.8</v>
      </c>
      <c r="Q41" s="68">
        <v>0.8</v>
      </c>
      <c r="R41" s="68">
        <v>0.8</v>
      </c>
      <c r="S41" s="295">
        <v>10</v>
      </c>
      <c r="T41" s="295">
        <v>25</v>
      </c>
      <c r="U41" s="317">
        <f t="shared" si="3"/>
        <v>0.4</v>
      </c>
      <c r="V41" s="60">
        <v>3</v>
      </c>
      <c r="W41" s="60">
        <v>5</v>
      </c>
      <c r="X41" s="317">
        <v>0.6</v>
      </c>
      <c r="Y41" s="60">
        <v>15</v>
      </c>
      <c r="Z41" s="60">
        <v>24</v>
      </c>
      <c r="AA41" s="317">
        <v>0.625</v>
      </c>
      <c r="AB41" s="60">
        <v>29</v>
      </c>
      <c r="AC41" s="60">
        <v>29</v>
      </c>
      <c r="AD41" s="340">
        <f>SUM(AB41/AC41)</f>
        <v>1</v>
      </c>
      <c r="AE41" s="300">
        <f>SUM(AD41)/R41</f>
        <v>1.25</v>
      </c>
      <c r="AF41" s="303" t="str">
        <f>IF(AE41&lt;60%,"MÍNIMO",IF(AE41&gt;=60%,IF(AE41&lt;80%,"ACEPTABLE",IF(AE41&gt;=80%,"SATISFACTORIO"))))</f>
        <v>SATISFACTORIO</v>
      </c>
      <c r="AG41" s="294" t="s">
        <v>478</v>
      </c>
      <c r="AH41" s="83"/>
      <c r="AI41" s="225" t="s">
        <v>106</v>
      </c>
      <c r="AJ41" s="226" t="s">
        <v>318</v>
      </c>
      <c r="AK41" s="228" t="s">
        <v>319</v>
      </c>
      <c r="AL41" s="130">
        <v>406</v>
      </c>
    </row>
    <row r="42" spans="1:38" s="33" customFormat="1" ht="72" customHeight="1" x14ac:dyDescent="0.2">
      <c r="A42" s="51">
        <v>32</v>
      </c>
      <c r="B42" s="51">
        <v>1</v>
      </c>
      <c r="C42" s="51">
        <v>1.1000000000000001</v>
      </c>
      <c r="D42" s="51" t="s">
        <v>285</v>
      </c>
      <c r="E42" s="51" t="s">
        <v>320</v>
      </c>
      <c r="F42" s="55" t="s">
        <v>321</v>
      </c>
      <c r="G42" s="125">
        <v>43100</v>
      </c>
      <c r="H42" s="111" t="s">
        <v>37</v>
      </c>
      <c r="I42" s="56" t="s">
        <v>322</v>
      </c>
      <c r="J42" s="111" t="s">
        <v>323</v>
      </c>
      <c r="K42" s="126" t="s">
        <v>324</v>
      </c>
      <c r="L42" s="51" t="s">
        <v>325</v>
      </c>
      <c r="M42" s="98">
        <v>152</v>
      </c>
      <c r="N42" s="127">
        <v>120</v>
      </c>
      <c r="O42" s="115">
        <v>120</v>
      </c>
      <c r="P42" s="115">
        <v>120</v>
      </c>
      <c r="Q42" s="115">
        <v>120</v>
      </c>
      <c r="R42" s="115">
        <v>120</v>
      </c>
      <c r="S42" s="295">
        <v>140</v>
      </c>
      <c r="T42" s="297" t="s">
        <v>79</v>
      </c>
      <c r="U42" s="324">
        <f>+S42</f>
        <v>140</v>
      </c>
      <c r="V42" s="60">
        <v>118</v>
      </c>
      <c r="W42" s="94" t="s">
        <v>79</v>
      </c>
      <c r="X42" s="324">
        <v>118</v>
      </c>
      <c r="Y42" s="60">
        <v>106</v>
      </c>
      <c r="Z42" s="94" t="s">
        <v>79</v>
      </c>
      <c r="AA42" s="324">
        <v>106</v>
      </c>
      <c r="AB42" s="94">
        <v>152</v>
      </c>
      <c r="AC42" s="94" t="s">
        <v>79</v>
      </c>
      <c r="AD42" s="342">
        <f>SUM(AB42)</f>
        <v>152</v>
      </c>
      <c r="AE42" s="301">
        <f>+AD42</f>
        <v>152</v>
      </c>
      <c r="AF42" s="358" t="str">
        <f>IF(AE42&gt;180,"MÍNIMO",IF(AE42&lt;=180,IF(AE42&gt;120,"ACEPTABLE",IF(AE42&lt;=120,"SATISFACTORIO"))))</f>
        <v>ACEPTABLE</v>
      </c>
      <c r="AG42" s="294" t="s">
        <v>479</v>
      </c>
      <c r="AH42" s="116"/>
      <c r="AI42" s="225" t="s">
        <v>326</v>
      </c>
      <c r="AJ42" s="226" t="s">
        <v>327</v>
      </c>
      <c r="AK42" s="228" t="s">
        <v>328</v>
      </c>
      <c r="AL42" s="130">
        <v>407</v>
      </c>
    </row>
    <row r="43" spans="1:38" s="33" customFormat="1" ht="144.75" customHeight="1" thickBot="1" x14ac:dyDescent="0.25">
      <c r="A43" s="139">
        <v>33</v>
      </c>
      <c r="B43" s="51">
        <v>1</v>
      </c>
      <c r="C43" s="51" t="s">
        <v>329</v>
      </c>
      <c r="D43" s="51" t="s">
        <v>285</v>
      </c>
      <c r="E43" s="51" t="s">
        <v>270</v>
      </c>
      <c r="F43" s="55" t="s">
        <v>330</v>
      </c>
      <c r="G43" s="110">
        <v>43100</v>
      </c>
      <c r="H43" s="111" t="s">
        <v>35</v>
      </c>
      <c r="I43" s="56" t="s">
        <v>331</v>
      </c>
      <c r="J43" s="111" t="s">
        <v>332</v>
      </c>
      <c r="K43" s="112" t="s">
        <v>333</v>
      </c>
      <c r="L43" s="70" t="s">
        <v>96</v>
      </c>
      <c r="M43" s="113">
        <v>1</v>
      </c>
      <c r="N43" s="113">
        <v>1</v>
      </c>
      <c r="O43" s="117">
        <v>0.3</v>
      </c>
      <c r="P43" s="117">
        <v>0.1</v>
      </c>
      <c r="Q43" s="128">
        <v>0.4</v>
      </c>
      <c r="R43" s="92">
        <v>0.2</v>
      </c>
      <c r="S43" s="355">
        <v>0</v>
      </c>
      <c r="T43" s="355">
        <v>11</v>
      </c>
      <c r="U43" s="317">
        <f>+S43/T43</f>
        <v>0</v>
      </c>
      <c r="V43" s="60">
        <v>7</v>
      </c>
      <c r="W43" s="60">
        <v>16</v>
      </c>
      <c r="X43" s="317">
        <v>0.4375</v>
      </c>
      <c r="Y43" s="60">
        <v>12</v>
      </c>
      <c r="Z43" s="60">
        <v>16</v>
      </c>
      <c r="AA43" s="317">
        <v>0.75</v>
      </c>
      <c r="AB43" s="60">
        <v>16</v>
      </c>
      <c r="AC43" s="60">
        <v>16</v>
      </c>
      <c r="AD43" s="340">
        <f>SUM(AB43/AC43)</f>
        <v>1</v>
      </c>
      <c r="AE43" s="300">
        <f>SUM(AD43)/(O43+P43+Q43+R43)</f>
        <v>1</v>
      </c>
      <c r="AF43" s="303" t="str">
        <f>IF(AE43&lt;80%,"MÍNIMO",IF(AE43&gt;=80%,IF(AE43&lt;90%,"ACEPTABLE",IF(AE43&gt;=90%,"SATISFACTORIO"))))</f>
        <v>SATISFACTORIO</v>
      </c>
      <c r="AG43" s="294" t="s">
        <v>453</v>
      </c>
      <c r="AH43" s="116"/>
      <c r="AI43" s="225" t="s">
        <v>61</v>
      </c>
      <c r="AJ43" s="226" t="s">
        <v>291</v>
      </c>
      <c r="AK43" s="227" t="s">
        <v>292</v>
      </c>
      <c r="AL43" s="130">
        <v>408</v>
      </c>
    </row>
    <row r="44" spans="1:38" s="33" customFormat="1" ht="118.5" customHeight="1" x14ac:dyDescent="0.2">
      <c r="A44" s="51">
        <v>34</v>
      </c>
      <c r="B44" s="118">
        <v>1</v>
      </c>
      <c r="C44" s="51" t="s">
        <v>284</v>
      </c>
      <c r="D44" s="51" t="s">
        <v>285</v>
      </c>
      <c r="E44" s="51" t="s">
        <v>334</v>
      </c>
      <c r="F44" s="55" t="s">
        <v>335</v>
      </c>
      <c r="G44" s="110">
        <v>43039</v>
      </c>
      <c r="H44" s="111" t="s">
        <v>35</v>
      </c>
      <c r="I44" s="56" t="s">
        <v>336</v>
      </c>
      <c r="J44" s="56" t="s">
        <v>337</v>
      </c>
      <c r="K44" s="56" t="s">
        <v>338</v>
      </c>
      <c r="L44" s="70" t="s">
        <v>96</v>
      </c>
      <c r="M44" s="113">
        <v>1</v>
      </c>
      <c r="N44" s="113">
        <v>1</v>
      </c>
      <c r="O44" s="119">
        <v>0.28571428571428598</v>
      </c>
      <c r="P44" s="117">
        <v>0.28999999999999998</v>
      </c>
      <c r="Q44" s="117">
        <v>0.28571428571428598</v>
      </c>
      <c r="R44" s="117">
        <v>0.13</v>
      </c>
      <c r="S44" s="357">
        <v>2</v>
      </c>
      <c r="T44" s="357">
        <v>7</v>
      </c>
      <c r="U44" s="317">
        <f t="shared" ref="U44" si="4">+S44/T44</f>
        <v>0.2857142857142857</v>
      </c>
      <c r="V44" s="60">
        <v>4</v>
      </c>
      <c r="W44" s="60">
        <v>7</v>
      </c>
      <c r="X44" s="317">
        <v>0.5714285714285714</v>
      </c>
      <c r="Y44" s="60">
        <v>5</v>
      </c>
      <c r="Z44" s="60">
        <v>7</v>
      </c>
      <c r="AA44" s="317">
        <v>0.7142857142857143</v>
      </c>
      <c r="AB44" s="60">
        <v>7</v>
      </c>
      <c r="AC44" s="60">
        <v>7</v>
      </c>
      <c r="AD44" s="340">
        <f>SUM(AB44/AC44)</f>
        <v>1</v>
      </c>
      <c r="AE44" s="300">
        <f>SUM(AD44)/(N44)</f>
        <v>1</v>
      </c>
      <c r="AF44" s="303" t="str">
        <f>IF(AE44&lt;80%,"MÍNIMO",IF(AE44&gt;=80%,IF(AE44&lt;90%,"ACEPTABLE",IF(AE44&gt;=90%,"SATISFACTORIO"))))</f>
        <v>SATISFACTORIO</v>
      </c>
      <c r="AG44" s="294" t="s">
        <v>494</v>
      </c>
      <c r="AH44" s="116"/>
      <c r="AI44" s="225" t="s">
        <v>61</v>
      </c>
      <c r="AJ44" s="226" t="s">
        <v>291</v>
      </c>
      <c r="AK44" s="227" t="s">
        <v>292</v>
      </c>
      <c r="AL44" s="130">
        <v>409</v>
      </c>
    </row>
    <row r="45" spans="1:38" s="33" customFormat="1" ht="136.5" customHeight="1" x14ac:dyDescent="0.2">
      <c r="A45" s="118">
        <v>35</v>
      </c>
      <c r="B45" s="118">
        <v>1</v>
      </c>
      <c r="C45" s="118">
        <v>1.2</v>
      </c>
      <c r="D45" s="174" t="s">
        <v>155</v>
      </c>
      <c r="E45" s="174" t="s">
        <v>156</v>
      </c>
      <c r="F45" s="171" t="s">
        <v>495</v>
      </c>
      <c r="G45" s="229">
        <v>43100</v>
      </c>
      <c r="H45" s="230" t="s">
        <v>35</v>
      </c>
      <c r="I45" s="231" t="s">
        <v>157</v>
      </c>
      <c r="J45" s="171" t="s">
        <v>158</v>
      </c>
      <c r="K45" s="231" t="s">
        <v>159</v>
      </c>
      <c r="L45" s="70" t="s">
        <v>96</v>
      </c>
      <c r="M45" s="229" t="s">
        <v>97</v>
      </c>
      <c r="N45" s="232">
        <v>1</v>
      </c>
      <c r="O45" s="232">
        <v>0.25</v>
      </c>
      <c r="P45" s="232">
        <v>0.25</v>
      </c>
      <c r="Q45" s="232">
        <v>0.25</v>
      </c>
      <c r="R45" s="232">
        <v>0.25</v>
      </c>
      <c r="S45" s="356">
        <v>1</v>
      </c>
      <c r="T45" s="356">
        <v>4</v>
      </c>
      <c r="U45" s="325">
        <f>+S45/T45</f>
        <v>0.25</v>
      </c>
      <c r="V45" s="181">
        <v>2</v>
      </c>
      <c r="W45" s="181">
        <v>4</v>
      </c>
      <c r="X45" s="325">
        <f t="shared" ref="X45:X50" si="5">+V45/W45</f>
        <v>0.5</v>
      </c>
      <c r="Y45" s="181">
        <v>3</v>
      </c>
      <c r="Z45" s="181">
        <v>4</v>
      </c>
      <c r="AA45" s="325">
        <f>+Y45/Z45</f>
        <v>0.75</v>
      </c>
      <c r="AB45" s="181">
        <v>4</v>
      </c>
      <c r="AC45" s="181">
        <v>4</v>
      </c>
      <c r="AD45" s="325">
        <f>+AB45/AC45</f>
        <v>1</v>
      </c>
      <c r="AE45" s="311">
        <f t="shared" ref="AE45:AE55" si="6">+AD45/N45</f>
        <v>1</v>
      </c>
      <c r="AF45" s="303" t="str">
        <f>IF(AE45&lt;80%,"MÍNIMO",IF(AE45&gt;=80%,IF(AE45&lt;90%,"ACEPTABLE",IF(AE45&gt;=90%,"SATISFACTORIO"))))</f>
        <v>SATISFACTORIO</v>
      </c>
      <c r="AG45" s="272" t="s">
        <v>496</v>
      </c>
      <c r="AH45" s="76"/>
      <c r="AI45" s="233" t="s">
        <v>61</v>
      </c>
      <c r="AJ45" s="219" t="s">
        <v>160</v>
      </c>
      <c r="AK45" s="219" t="s">
        <v>64</v>
      </c>
    </row>
    <row r="46" spans="1:38" s="33" customFormat="1" ht="144" x14ac:dyDescent="0.2">
      <c r="A46" s="118">
        <v>36</v>
      </c>
      <c r="B46" s="118">
        <v>1</v>
      </c>
      <c r="C46" s="118">
        <v>1.2</v>
      </c>
      <c r="D46" s="174" t="s">
        <v>155</v>
      </c>
      <c r="E46" s="174" t="s">
        <v>156</v>
      </c>
      <c r="F46" s="171" t="s">
        <v>161</v>
      </c>
      <c r="G46" s="229">
        <v>43100</v>
      </c>
      <c r="H46" s="230" t="s">
        <v>37</v>
      </c>
      <c r="I46" s="231" t="s">
        <v>162</v>
      </c>
      <c r="J46" s="171" t="s">
        <v>163</v>
      </c>
      <c r="K46" s="231" t="s">
        <v>164</v>
      </c>
      <c r="L46" s="70" t="s">
        <v>96</v>
      </c>
      <c r="M46" s="232">
        <v>0.92</v>
      </c>
      <c r="N46" s="234">
        <v>1</v>
      </c>
      <c r="O46" s="234">
        <v>1</v>
      </c>
      <c r="P46" s="234">
        <v>1</v>
      </c>
      <c r="Q46" s="234">
        <v>1</v>
      </c>
      <c r="R46" s="234">
        <v>1</v>
      </c>
      <c r="S46" s="181">
        <v>1</v>
      </c>
      <c r="T46" s="181">
        <v>1</v>
      </c>
      <c r="U46" s="325">
        <f t="shared" ref="U46:U50" si="7">+S46/T46</f>
        <v>1</v>
      </c>
      <c r="V46" s="181">
        <v>6</v>
      </c>
      <c r="W46" s="181">
        <v>6</v>
      </c>
      <c r="X46" s="325">
        <f t="shared" si="5"/>
        <v>1</v>
      </c>
      <c r="Y46" s="181">
        <v>16</v>
      </c>
      <c r="Z46" s="181">
        <v>16</v>
      </c>
      <c r="AA46" s="325">
        <f t="shared" ref="AA46:AA55" si="8">+Y46/Z46</f>
        <v>1</v>
      </c>
      <c r="AB46" s="181">
        <f>Y46+27</f>
        <v>43</v>
      </c>
      <c r="AC46" s="181">
        <v>43</v>
      </c>
      <c r="AD46" s="325">
        <f t="shared" ref="AD46:AD55" si="9">+AB46/AC46</f>
        <v>1</v>
      </c>
      <c r="AE46" s="311">
        <f t="shared" si="6"/>
        <v>1</v>
      </c>
      <c r="AF46" s="303" t="str">
        <f>IF(AE46&lt;80%,"MÍNIMO",IF(AE46&gt;=80%,IF(AE46&lt;90%,"ACEPTABLE",IF(AE46&gt;=90%,"SATISFACTORIO"))))</f>
        <v>SATISFACTORIO</v>
      </c>
      <c r="AG46" s="273" t="s">
        <v>460</v>
      </c>
      <c r="AH46" s="76"/>
      <c r="AI46" s="233" t="s">
        <v>61</v>
      </c>
      <c r="AJ46" s="219" t="s">
        <v>160</v>
      </c>
      <c r="AK46" s="219" t="s">
        <v>64</v>
      </c>
    </row>
    <row r="47" spans="1:38" s="33" customFormat="1" ht="288" customHeight="1" x14ac:dyDescent="0.2">
      <c r="A47" s="118">
        <v>37</v>
      </c>
      <c r="B47" s="118">
        <v>1</v>
      </c>
      <c r="C47" s="118">
        <v>1.2</v>
      </c>
      <c r="D47" s="174" t="s">
        <v>155</v>
      </c>
      <c r="E47" s="174" t="s">
        <v>156</v>
      </c>
      <c r="F47" s="171" t="s">
        <v>165</v>
      </c>
      <c r="G47" s="229">
        <v>43100</v>
      </c>
      <c r="H47" s="230" t="s">
        <v>35</v>
      </c>
      <c r="I47" s="231" t="s">
        <v>166</v>
      </c>
      <c r="J47" s="171" t="s">
        <v>497</v>
      </c>
      <c r="K47" s="231" t="s">
        <v>167</v>
      </c>
      <c r="L47" s="70" t="s">
        <v>96</v>
      </c>
      <c r="M47" s="232">
        <v>0.81</v>
      </c>
      <c r="N47" s="234">
        <v>0.9</v>
      </c>
      <c r="O47" s="234">
        <v>0.9</v>
      </c>
      <c r="P47" s="234">
        <v>0.9</v>
      </c>
      <c r="Q47" s="234">
        <v>0.9</v>
      </c>
      <c r="R47" s="234">
        <v>0.9</v>
      </c>
      <c r="S47" s="181">
        <v>147</v>
      </c>
      <c r="T47" s="181">
        <v>384</v>
      </c>
      <c r="U47" s="325">
        <f t="shared" si="7"/>
        <v>0.3828125</v>
      </c>
      <c r="V47" s="181">
        <f>(121+175)*100%</f>
        <v>296</v>
      </c>
      <c r="W47" s="181">
        <v>429</v>
      </c>
      <c r="X47" s="325">
        <f t="shared" si="5"/>
        <v>0.68997668997668993</v>
      </c>
      <c r="Y47" s="181">
        <v>429</v>
      </c>
      <c r="Z47" s="181">
        <v>615</v>
      </c>
      <c r="AA47" s="325">
        <f t="shared" si="8"/>
        <v>0.69756097560975605</v>
      </c>
      <c r="AB47" s="181">
        <f>Y47+210</f>
        <v>639</v>
      </c>
      <c r="AC47" s="181">
        <f>Z47+94</f>
        <v>709</v>
      </c>
      <c r="AD47" s="325">
        <f>+AB47/AC47</f>
        <v>0.90126939351198876</v>
      </c>
      <c r="AE47" s="311">
        <f t="shared" si="6"/>
        <v>1.001410437235543</v>
      </c>
      <c r="AF47" s="303" t="str">
        <f>IF(AE47&lt;70%,"MÍNIMO",IF(AE47&gt;=70%,IF(AE47&lt;90%,"ACEPTABLE",IF(AE47&gt;=90%,"SATISFACTORIO"))))</f>
        <v>SATISFACTORIO</v>
      </c>
      <c r="AG47" s="274" t="s">
        <v>498</v>
      </c>
      <c r="AH47" s="76"/>
      <c r="AI47" s="235" t="s">
        <v>421</v>
      </c>
      <c r="AJ47" s="236" t="s">
        <v>441</v>
      </c>
      <c r="AK47" s="236" t="s">
        <v>64</v>
      </c>
    </row>
    <row r="48" spans="1:38" s="33" customFormat="1" ht="290.25" customHeight="1" x14ac:dyDescent="0.2">
      <c r="A48" s="118">
        <v>38</v>
      </c>
      <c r="B48" s="118">
        <v>1</v>
      </c>
      <c r="C48" s="118">
        <v>1.2</v>
      </c>
      <c r="D48" s="174" t="s">
        <v>155</v>
      </c>
      <c r="E48" s="174" t="s">
        <v>156</v>
      </c>
      <c r="F48" s="171" t="s">
        <v>456</v>
      </c>
      <c r="G48" s="229">
        <v>43100</v>
      </c>
      <c r="H48" s="230" t="s">
        <v>35</v>
      </c>
      <c r="I48" s="231" t="s">
        <v>168</v>
      </c>
      <c r="J48" s="171" t="s">
        <v>169</v>
      </c>
      <c r="K48" s="231" t="s">
        <v>170</v>
      </c>
      <c r="L48" s="70" t="s">
        <v>96</v>
      </c>
      <c r="M48" s="232">
        <v>0.51</v>
      </c>
      <c r="N48" s="234">
        <v>0.4</v>
      </c>
      <c r="O48" s="237">
        <v>0.1</v>
      </c>
      <c r="P48" s="237">
        <v>0.1</v>
      </c>
      <c r="Q48" s="234">
        <v>0.1</v>
      </c>
      <c r="R48" s="234">
        <v>0.1</v>
      </c>
      <c r="S48" s="181">
        <v>20</v>
      </c>
      <c r="T48" s="181">
        <v>306</v>
      </c>
      <c r="U48" s="326">
        <f t="shared" si="7"/>
        <v>6.535947712418301E-2</v>
      </c>
      <c r="V48" s="181">
        <v>52</v>
      </c>
      <c r="W48" s="181">
        <v>306</v>
      </c>
      <c r="X48" s="326">
        <f t="shared" si="5"/>
        <v>0.16993464052287582</v>
      </c>
      <c r="Y48" s="181">
        <v>85</v>
      </c>
      <c r="Z48" s="181">
        <v>306</v>
      </c>
      <c r="AA48" s="325">
        <f t="shared" si="8"/>
        <v>0.27777777777777779</v>
      </c>
      <c r="AB48" s="181">
        <f>Y48+36</f>
        <v>121</v>
      </c>
      <c r="AC48" s="181">
        <v>306</v>
      </c>
      <c r="AD48" s="325">
        <f>+AB48/AC48</f>
        <v>0.39542483660130717</v>
      </c>
      <c r="AE48" s="311">
        <f t="shared" si="6"/>
        <v>0.9885620915032679</v>
      </c>
      <c r="AF48" s="303" t="str">
        <f>IF(AE48&lt;20%,"MÍNIMO",IF(AE48&gt;=20%,IF(AE48&lt;40%,"ACEPTABLE",IF(AE48&gt;=40%,"SATISFACTORIO"))))</f>
        <v>SATISFACTORIO</v>
      </c>
      <c r="AG48" s="274" t="s">
        <v>499</v>
      </c>
      <c r="AH48" s="76"/>
      <c r="AI48" s="187" t="s">
        <v>442</v>
      </c>
      <c r="AJ48" s="185" t="s">
        <v>443</v>
      </c>
      <c r="AK48" s="188" t="s">
        <v>444</v>
      </c>
    </row>
    <row r="49" spans="1:54" s="33" customFormat="1" ht="235.5" customHeight="1" x14ac:dyDescent="0.2">
      <c r="A49" s="51">
        <v>39</v>
      </c>
      <c r="B49" s="51">
        <v>1</v>
      </c>
      <c r="C49" s="51">
        <v>1.2</v>
      </c>
      <c r="D49" s="174" t="s">
        <v>155</v>
      </c>
      <c r="E49" s="174" t="s">
        <v>156</v>
      </c>
      <c r="F49" s="64" t="s">
        <v>171</v>
      </c>
      <c r="G49" s="65">
        <v>43100</v>
      </c>
      <c r="H49" s="56" t="s">
        <v>36</v>
      </c>
      <c r="I49" s="55" t="s">
        <v>172</v>
      </c>
      <c r="J49" s="64" t="s">
        <v>173</v>
      </c>
      <c r="K49" s="55" t="s">
        <v>174</v>
      </c>
      <c r="L49" s="70" t="s">
        <v>96</v>
      </c>
      <c r="M49" s="51" t="s">
        <v>97</v>
      </c>
      <c r="N49" s="68">
        <v>0.95</v>
      </c>
      <c r="O49" s="68">
        <v>0.2</v>
      </c>
      <c r="P49" s="68">
        <v>0.2</v>
      </c>
      <c r="Q49" s="68">
        <v>0.2</v>
      </c>
      <c r="R49" s="68">
        <v>0.35</v>
      </c>
      <c r="S49" s="181">
        <v>63</v>
      </c>
      <c r="T49" s="181">
        <v>300</v>
      </c>
      <c r="U49" s="325">
        <f t="shared" si="7"/>
        <v>0.21</v>
      </c>
      <c r="V49" s="181">
        <f>114+14+3+14*100%</f>
        <v>145</v>
      </c>
      <c r="W49" s="181">
        <v>300</v>
      </c>
      <c r="X49" s="326">
        <f t="shared" si="5"/>
        <v>0.48333333333333334</v>
      </c>
      <c r="Y49" s="181">
        <v>218</v>
      </c>
      <c r="Z49" s="181">
        <v>300</v>
      </c>
      <c r="AA49" s="325">
        <f>+Y49/Z49</f>
        <v>0.72666666666666668</v>
      </c>
      <c r="AB49" s="181">
        <f>Y49+74</f>
        <v>292</v>
      </c>
      <c r="AC49" s="181">
        <v>300</v>
      </c>
      <c r="AD49" s="325">
        <f t="shared" si="9"/>
        <v>0.97333333333333338</v>
      </c>
      <c r="AE49" s="311">
        <f t="shared" si="6"/>
        <v>1.024561403508772</v>
      </c>
      <c r="AF49" s="303" t="str">
        <f>IF(AE49&lt;60%,"MÍNIMO",IF(AE49&gt;=60%,IF(AE49&lt;80%,"ACEPTABLE",IF(AE49&gt;=80%,"SATISFACTORIO"))))</f>
        <v>SATISFACTORIO</v>
      </c>
      <c r="AG49" s="272" t="s">
        <v>461</v>
      </c>
      <c r="AH49" s="76"/>
      <c r="AI49" s="212" t="s">
        <v>106</v>
      </c>
      <c r="AJ49" s="212" t="s">
        <v>445</v>
      </c>
      <c r="AK49" s="212" t="s">
        <v>319</v>
      </c>
    </row>
    <row r="50" spans="1:54" s="33" customFormat="1" ht="242.25" x14ac:dyDescent="0.2">
      <c r="A50" s="51">
        <v>40</v>
      </c>
      <c r="B50" s="51">
        <v>1</v>
      </c>
      <c r="C50" s="51">
        <v>1.2</v>
      </c>
      <c r="D50" s="174" t="s">
        <v>155</v>
      </c>
      <c r="E50" s="174" t="s">
        <v>156</v>
      </c>
      <c r="F50" s="64" t="s">
        <v>175</v>
      </c>
      <c r="G50" s="65">
        <v>43100</v>
      </c>
      <c r="H50" s="56" t="s">
        <v>36</v>
      </c>
      <c r="I50" s="55" t="s">
        <v>176</v>
      </c>
      <c r="J50" s="64" t="s">
        <v>177</v>
      </c>
      <c r="K50" s="55" t="s">
        <v>178</v>
      </c>
      <c r="L50" s="70" t="s">
        <v>96</v>
      </c>
      <c r="M50" s="51" t="s">
        <v>97</v>
      </c>
      <c r="N50" s="68">
        <v>1</v>
      </c>
      <c r="O50" s="68">
        <v>1</v>
      </c>
      <c r="P50" s="68">
        <v>1</v>
      </c>
      <c r="Q50" s="68">
        <v>1</v>
      </c>
      <c r="R50" s="68">
        <v>1</v>
      </c>
      <c r="S50" s="181">
        <v>1</v>
      </c>
      <c r="T50" s="181">
        <v>1</v>
      </c>
      <c r="U50" s="325">
        <f t="shared" si="7"/>
        <v>1</v>
      </c>
      <c r="V50" s="181">
        <v>3</v>
      </c>
      <c r="W50" s="181">
        <v>3</v>
      </c>
      <c r="X50" s="326">
        <f t="shared" si="5"/>
        <v>1</v>
      </c>
      <c r="Y50" s="181">
        <v>3</v>
      </c>
      <c r="Z50" s="181">
        <v>3</v>
      </c>
      <c r="AA50" s="325">
        <f t="shared" ref="AA50" si="10">+Y50/Z50</f>
        <v>1</v>
      </c>
      <c r="AB50" s="181">
        <v>3</v>
      </c>
      <c r="AC50" s="181">
        <v>3</v>
      </c>
      <c r="AD50" s="325">
        <f t="shared" si="9"/>
        <v>1</v>
      </c>
      <c r="AE50" s="311">
        <f t="shared" si="6"/>
        <v>1</v>
      </c>
      <c r="AF50" s="303" t="str">
        <f>IF(AE50&lt;30%,"MÍNIMO",IF(AE50&gt;=30%,IF(AE50&lt;50%,"ACEPTABLE",IF(AE50&gt;=50%,"SATISFACTORIO"))))</f>
        <v>SATISFACTORIO</v>
      </c>
      <c r="AG50" s="275" t="s">
        <v>500</v>
      </c>
      <c r="AH50" s="76"/>
      <c r="AI50" s="212" t="s">
        <v>446</v>
      </c>
      <c r="AJ50" s="212" t="s">
        <v>447</v>
      </c>
      <c r="AK50" s="212" t="s">
        <v>448</v>
      </c>
    </row>
    <row r="51" spans="1:54" s="33" customFormat="1" ht="186.75" customHeight="1" x14ac:dyDescent="0.2">
      <c r="A51" s="238">
        <v>41</v>
      </c>
      <c r="B51" s="238">
        <v>1</v>
      </c>
      <c r="C51" s="238">
        <v>1.2</v>
      </c>
      <c r="D51" s="239" t="s">
        <v>155</v>
      </c>
      <c r="E51" s="239" t="s">
        <v>179</v>
      </c>
      <c r="F51" s="240" t="s">
        <v>180</v>
      </c>
      <c r="G51" s="241">
        <v>43100</v>
      </c>
      <c r="H51" s="56" t="s">
        <v>36</v>
      </c>
      <c r="I51" s="242" t="s">
        <v>181</v>
      </c>
      <c r="J51" s="240" t="s">
        <v>182</v>
      </c>
      <c r="K51" s="242" t="s">
        <v>501</v>
      </c>
      <c r="L51" s="238" t="s">
        <v>183</v>
      </c>
      <c r="M51" s="243">
        <v>1201729386</v>
      </c>
      <c r="N51" s="243">
        <v>16300000000</v>
      </c>
      <c r="O51" s="243">
        <v>12571805125.26</v>
      </c>
      <c r="P51" s="243">
        <v>270000000</v>
      </c>
      <c r="Q51" s="243">
        <v>388194874.73999977</v>
      </c>
      <c r="R51" s="243">
        <v>3070000000</v>
      </c>
      <c r="S51" s="180">
        <v>12571805125.26</v>
      </c>
      <c r="T51" s="180" t="s">
        <v>79</v>
      </c>
      <c r="U51" s="327">
        <f>+S51</f>
        <v>12571805125.26</v>
      </c>
      <c r="V51" s="180">
        <f>S51+1056971414</f>
        <v>13628776539.26</v>
      </c>
      <c r="W51" s="180" t="s">
        <v>79</v>
      </c>
      <c r="X51" s="327">
        <f>+V51</f>
        <v>13628776539.26</v>
      </c>
      <c r="Y51" s="180">
        <f>V51+1282323178</f>
        <v>14911099717.26</v>
      </c>
      <c r="Z51" s="180" t="s">
        <v>79</v>
      </c>
      <c r="AA51" s="327">
        <f>+Y51</f>
        <v>14911099717.26</v>
      </c>
      <c r="AB51" s="180">
        <f>Y51+1312230956</f>
        <v>16223330673.26</v>
      </c>
      <c r="AC51" s="180">
        <f>N51</f>
        <v>16300000000</v>
      </c>
      <c r="AD51" s="327">
        <f>AB51</f>
        <v>16223330673.26</v>
      </c>
      <c r="AE51" s="311">
        <f t="shared" si="6"/>
        <v>0.99529636032269941</v>
      </c>
      <c r="AF51" s="303" t="str">
        <f>IF(AE51&lt;30%,"MÍNIMO",IF(AE51&gt;=30%,IF(AE51&lt;50%,"ACEPTABLE",IF(AE51&gt;=50%,"SATISFACTORIO"))))</f>
        <v>SATISFACTORIO</v>
      </c>
      <c r="AG51" s="272" t="s">
        <v>502</v>
      </c>
      <c r="AH51" s="76"/>
      <c r="AI51" s="212" t="s">
        <v>138</v>
      </c>
      <c r="AJ51" s="212" t="s">
        <v>449</v>
      </c>
      <c r="AK51" s="212" t="s">
        <v>64</v>
      </c>
    </row>
    <row r="52" spans="1:54" s="33" customFormat="1" ht="105" customHeight="1" x14ac:dyDescent="0.2">
      <c r="A52" s="118">
        <v>42</v>
      </c>
      <c r="B52" s="244">
        <v>1</v>
      </c>
      <c r="C52" s="244">
        <v>1.2</v>
      </c>
      <c r="D52" s="174" t="s">
        <v>155</v>
      </c>
      <c r="E52" s="174" t="s">
        <v>179</v>
      </c>
      <c r="F52" s="245" t="s">
        <v>503</v>
      </c>
      <c r="G52" s="246">
        <v>43100</v>
      </c>
      <c r="H52" s="247" t="s">
        <v>35</v>
      </c>
      <c r="I52" s="248" t="s">
        <v>184</v>
      </c>
      <c r="J52" s="245" t="s">
        <v>504</v>
      </c>
      <c r="K52" s="248" t="s">
        <v>505</v>
      </c>
      <c r="L52" s="70" t="s">
        <v>96</v>
      </c>
      <c r="M52" s="249" t="s">
        <v>97</v>
      </c>
      <c r="N52" s="250">
        <v>0.9</v>
      </c>
      <c r="O52" s="250">
        <v>0.9</v>
      </c>
      <c r="P52" s="250">
        <v>0.9</v>
      </c>
      <c r="Q52" s="250">
        <v>0.9</v>
      </c>
      <c r="R52" s="250">
        <v>0.9</v>
      </c>
      <c r="S52" s="181">
        <v>2</v>
      </c>
      <c r="T52" s="181">
        <v>2</v>
      </c>
      <c r="U52" s="325">
        <f>+S52/T52</f>
        <v>1</v>
      </c>
      <c r="V52" s="181">
        <v>2</v>
      </c>
      <c r="W52" s="181">
        <v>2</v>
      </c>
      <c r="X52" s="326">
        <f>+V52/W52</f>
        <v>1</v>
      </c>
      <c r="Y52" s="181">
        <v>3</v>
      </c>
      <c r="Z52" s="181">
        <v>3</v>
      </c>
      <c r="AA52" s="325">
        <f t="shared" si="8"/>
        <v>1</v>
      </c>
      <c r="AB52" s="181">
        <v>3</v>
      </c>
      <c r="AC52" s="181">
        <v>3</v>
      </c>
      <c r="AD52" s="325">
        <f t="shared" si="9"/>
        <v>1</v>
      </c>
      <c r="AE52" s="311">
        <f t="shared" si="6"/>
        <v>1.1111111111111112</v>
      </c>
      <c r="AF52" s="303" t="str">
        <f>IF(AE52&lt;70%,"MÍNIMO",IF(AE52&gt;=70%,IF(AE52&lt;80%,"ACEPTABLE",IF(AE52&gt;=90%,"SATISFACTORIO"))))</f>
        <v>SATISFACTORIO</v>
      </c>
      <c r="AG52" s="272" t="s">
        <v>506</v>
      </c>
      <c r="AH52" s="76"/>
      <c r="AI52" s="186" t="s">
        <v>421</v>
      </c>
      <c r="AJ52" s="186" t="s">
        <v>450</v>
      </c>
      <c r="AK52" s="186" t="s">
        <v>319</v>
      </c>
    </row>
    <row r="53" spans="1:54" s="33" customFormat="1" ht="253.5" customHeight="1" x14ac:dyDescent="0.2">
      <c r="A53" s="118">
        <v>43</v>
      </c>
      <c r="B53" s="244">
        <v>1</v>
      </c>
      <c r="C53" s="244">
        <v>1.2</v>
      </c>
      <c r="D53" s="174" t="s">
        <v>155</v>
      </c>
      <c r="E53" s="174" t="s">
        <v>179</v>
      </c>
      <c r="F53" s="245" t="s">
        <v>185</v>
      </c>
      <c r="G53" s="246">
        <v>43100</v>
      </c>
      <c r="H53" s="247" t="s">
        <v>35</v>
      </c>
      <c r="I53" s="248" t="s">
        <v>186</v>
      </c>
      <c r="J53" s="245" t="s">
        <v>507</v>
      </c>
      <c r="K53" s="248" t="s">
        <v>508</v>
      </c>
      <c r="L53" s="70" t="s">
        <v>96</v>
      </c>
      <c r="M53" s="249" t="s">
        <v>97</v>
      </c>
      <c r="N53" s="250">
        <v>0.9</v>
      </c>
      <c r="O53" s="250">
        <v>0.9</v>
      </c>
      <c r="P53" s="250">
        <v>0.9</v>
      </c>
      <c r="Q53" s="250">
        <v>0.9</v>
      </c>
      <c r="R53" s="250">
        <v>0.9</v>
      </c>
      <c r="S53" s="181">
        <v>42</v>
      </c>
      <c r="T53" s="181">
        <v>56</v>
      </c>
      <c r="U53" s="325">
        <f t="shared" ref="U53:U55" si="11">+S53/T53</f>
        <v>0.75</v>
      </c>
      <c r="V53" s="181">
        <v>93</v>
      </c>
      <c r="W53" s="181">
        <v>113</v>
      </c>
      <c r="X53" s="326">
        <f>+V53/W53</f>
        <v>0.82300884955752207</v>
      </c>
      <c r="Y53" s="181">
        <v>138</v>
      </c>
      <c r="Z53" s="181">
        <v>175</v>
      </c>
      <c r="AA53" s="325">
        <f t="shared" si="8"/>
        <v>0.78857142857142859</v>
      </c>
      <c r="AB53" s="181">
        <f>Y53+34</f>
        <v>172</v>
      </c>
      <c r="AC53" s="181">
        <v>172</v>
      </c>
      <c r="AD53" s="325">
        <f t="shared" si="9"/>
        <v>1</v>
      </c>
      <c r="AE53" s="311">
        <f t="shared" si="6"/>
        <v>1.1111111111111112</v>
      </c>
      <c r="AF53" s="303" t="str">
        <f>IF(AE53&lt;70%,"MÍNIMO",IF(AE53&gt;=70%,IF(AE53&lt;80%,"ACEPTABLE",IF(AE53&gt;=80%,"SATISFACTORIO"))))</f>
        <v>SATISFACTORIO</v>
      </c>
      <c r="AG53" s="272" t="s">
        <v>509</v>
      </c>
      <c r="AH53" s="76"/>
      <c r="AI53" s="186" t="s">
        <v>421</v>
      </c>
      <c r="AJ53" s="186" t="s">
        <v>450</v>
      </c>
      <c r="AK53" s="186" t="s">
        <v>319</v>
      </c>
    </row>
    <row r="54" spans="1:54" s="33" customFormat="1" ht="114.75" customHeight="1" x14ac:dyDescent="0.2">
      <c r="A54" s="118">
        <v>44</v>
      </c>
      <c r="B54" s="244">
        <v>1</v>
      </c>
      <c r="C54" s="244">
        <v>1.2</v>
      </c>
      <c r="D54" s="174" t="s">
        <v>155</v>
      </c>
      <c r="E54" s="174" t="s">
        <v>179</v>
      </c>
      <c r="F54" s="245" t="s">
        <v>510</v>
      </c>
      <c r="G54" s="246">
        <v>43100</v>
      </c>
      <c r="H54" s="56" t="s">
        <v>36</v>
      </c>
      <c r="I54" s="248" t="s">
        <v>187</v>
      </c>
      <c r="J54" s="245" t="s">
        <v>188</v>
      </c>
      <c r="K54" s="248" t="s">
        <v>189</v>
      </c>
      <c r="L54" s="70" t="s">
        <v>96</v>
      </c>
      <c r="M54" s="251" t="s">
        <v>97</v>
      </c>
      <c r="N54" s="250">
        <v>0.9</v>
      </c>
      <c r="O54" s="250">
        <v>0.9</v>
      </c>
      <c r="P54" s="250">
        <v>0.9</v>
      </c>
      <c r="Q54" s="250">
        <v>0.9</v>
      </c>
      <c r="R54" s="250">
        <v>0.9</v>
      </c>
      <c r="S54" s="181">
        <v>1</v>
      </c>
      <c r="T54" s="181">
        <v>1</v>
      </c>
      <c r="U54" s="325">
        <f t="shared" si="11"/>
        <v>1</v>
      </c>
      <c r="V54" s="181">
        <v>3</v>
      </c>
      <c r="W54" s="181">
        <v>3</v>
      </c>
      <c r="X54" s="326">
        <f t="shared" ref="X54:X55" si="12">+V54/W54</f>
        <v>1</v>
      </c>
      <c r="Y54" s="181">
        <v>4</v>
      </c>
      <c r="Z54" s="181">
        <v>4</v>
      </c>
      <c r="AA54" s="325">
        <f t="shared" si="8"/>
        <v>1</v>
      </c>
      <c r="AB54" s="181">
        <f>Y54+3</f>
        <v>7</v>
      </c>
      <c r="AC54" s="181">
        <f>Z54+3</f>
        <v>7</v>
      </c>
      <c r="AD54" s="325">
        <f t="shared" si="9"/>
        <v>1</v>
      </c>
      <c r="AE54" s="311">
        <f t="shared" si="6"/>
        <v>1.1111111111111112</v>
      </c>
      <c r="AF54" s="303" t="str">
        <f>IF(AE54&lt;70%,"MÍNIMO",IF(AE54&gt;=70%,IF(AE54&lt;80%,"ACEPTABLE",IF(AE54&gt;=80%,"SATISFACTORIO"))))</f>
        <v>SATISFACTORIO</v>
      </c>
      <c r="AG54" s="272" t="s">
        <v>462</v>
      </c>
      <c r="AH54" s="76"/>
      <c r="AI54" s="186" t="s">
        <v>421</v>
      </c>
      <c r="AJ54" s="186" t="s">
        <v>450</v>
      </c>
      <c r="AK54" s="186" t="s">
        <v>319</v>
      </c>
    </row>
    <row r="55" spans="1:54" s="33" customFormat="1" ht="143.25" customHeight="1" x14ac:dyDescent="0.2">
      <c r="A55" s="238">
        <v>45</v>
      </c>
      <c r="B55" s="238">
        <v>1</v>
      </c>
      <c r="C55" s="238" t="s">
        <v>190</v>
      </c>
      <c r="D55" s="239" t="s">
        <v>155</v>
      </c>
      <c r="E55" s="239" t="s">
        <v>191</v>
      </c>
      <c r="F55" s="240" t="s">
        <v>511</v>
      </c>
      <c r="G55" s="241">
        <v>43100</v>
      </c>
      <c r="H55" s="44" t="s">
        <v>35</v>
      </c>
      <c r="I55" s="242" t="s">
        <v>192</v>
      </c>
      <c r="J55" s="240" t="s">
        <v>512</v>
      </c>
      <c r="K55" s="242" t="s">
        <v>513</v>
      </c>
      <c r="L55" s="70" t="s">
        <v>96</v>
      </c>
      <c r="M55" s="113" t="s">
        <v>97</v>
      </c>
      <c r="N55" s="252">
        <v>1</v>
      </c>
      <c r="O55" s="252">
        <v>1</v>
      </c>
      <c r="P55" s="252">
        <v>1</v>
      </c>
      <c r="Q55" s="252">
        <v>1</v>
      </c>
      <c r="R55" s="252">
        <v>1</v>
      </c>
      <c r="S55" s="181">
        <v>12</v>
      </c>
      <c r="T55" s="181">
        <v>12</v>
      </c>
      <c r="U55" s="325">
        <f t="shared" si="11"/>
        <v>1</v>
      </c>
      <c r="V55" s="181">
        <v>12</v>
      </c>
      <c r="W55" s="181">
        <v>12</v>
      </c>
      <c r="X55" s="326">
        <f t="shared" si="12"/>
        <v>1</v>
      </c>
      <c r="Y55" s="181">
        <v>13</v>
      </c>
      <c r="Z55" s="181">
        <v>13</v>
      </c>
      <c r="AA55" s="325">
        <f t="shared" si="8"/>
        <v>1</v>
      </c>
      <c r="AB55" s="181">
        <f>Y55+6</f>
        <v>19</v>
      </c>
      <c r="AC55" s="181">
        <f>Z55+6</f>
        <v>19</v>
      </c>
      <c r="AD55" s="325">
        <f t="shared" si="9"/>
        <v>1</v>
      </c>
      <c r="AE55" s="311">
        <f t="shared" si="6"/>
        <v>1</v>
      </c>
      <c r="AF55" s="303" t="str">
        <f>IF(AE55&lt;70%,"MÍNIMO",IF(AE55&gt;=70%,IF(AE55&lt;80%,"ACEPTABLE",IF(AE55&gt;=80%,"SATISFACTORIO"))))</f>
        <v>SATISFACTORIO</v>
      </c>
      <c r="AG55" s="273" t="s">
        <v>514</v>
      </c>
      <c r="AH55" s="76"/>
      <c r="AI55" s="186" t="s">
        <v>61</v>
      </c>
      <c r="AJ55" s="186" t="s">
        <v>160</v>
      </c>
      <c r="AK55" s="186" t="s">
        <v>64</v>
      </c>
      <c r="AL55" s="33" t="s">
        <v>451</v>
      </c>
    </row>
    <row r="56" spans="1:54" s="33" customFormat="1" ht="151.5" customHeight="1" x14ac:dyDescent="0.2">
      <c r="A56" s="118">
        <v>46</v>
      </c>
      <c r="B56" s="244">
        <v>1</v>
      </c>
      <c r="C56" s="244" t="s">
        <v>190</v>
      </c>
      <c r="D56" s="174" t="s">
        <v>155</v>
      </c>
      <c r="E56" s="174" t="s">
        <v>179</v>
      </c>
      <c r="F56" s="245" t="s">
        <v>515</v>
      </c>
      <c r="G56" s="246">
        <v>43101</v>
      </c>
      <c r="H56" s="247" t="s">
        <v>37</v>
      </c>
      <c r="I56" s="248" t="s">
        <v>516</v>
      </c>
      <c r="J56" s="245" t="s">
        <v>517</v>
      </c>
      <c r="K56" s="248" t="s">
        <v>518</v>
      </c>
      <c r="L56" s="70" t="s">
        <v>96</v>
      </c>
      <c r="M56" s="249" t="s">
        <v>97</v>
      </c>
      <c r="N56" s="250">
        <v>1</v>
      </c>
      <c r="O56" s="250">
        <v>0</v>
      </c>
      <c r="P56" s="250">
        <v>0</v>
      </c>
      <c r="Q56" s="250">
        <v>0</v>
      </c>
      <c r="R56" s="250">
        <v>1</v>
      </c>
      <c r="S56" s="181" t="s">
        <v>97</v>
      </c>
      <c r="T56" s="181" t="s">
        <v>97</v>
      </c>
      <c r="U56" s="325" t="s">
        <v>79</v>
      </c>
      <c r="V56" s="181" t="s">
        <v>97</v>
      </c>
      <c r="W56" s="181" t="s">
        <v>97</v>
      </c>
      <c r="X56" s="325" t="s">
        <v>79</v>
      </c>
      <c r="Y56" s="253" t="s">
        <v>97</v>
      </c>
      <c r="Z56" s="181" t="s">
        <v>97</v>
      </c>
      <c r="AA56" s="325" t="s">
        <v>79</v>
      </c>
      <c r="AB56" s="306" t="s">
        <v>97</v>
      </c>
      <c r="AC56" s="306" t="s">
        <v>97</v>
      </c>
      <c r="AD56" s="325" t="s">
        <v>79</v>
      </c>
      <c r="AE56" s="311">
        <v>0</v>
      </c>
      <c r="AF56" s="114" t="str">
        <f>IF(AE56&lt;80%,"MÍNIMO",IF(AE56&gt;=80%,IF(AE56&lt;90%,"ACEPTABLE",IF(AE56&gt;=90%,"SATISFACTORIO"))))</f>
        <v>MÍNIMO</v>
      </c>
      <c r="AG56" s="272" t="s">
        <v>519</v>
      </c>
      <c r="AH56" s="76"/>
      <c r="AI56" s="212" t="s">
        <v>61</v>
      </c>
      <c r="AJ56" s="212" t="s">
        <v>160</v>
      </c>
      <c r="AK56" s="212" t="s">
        <v>64</v>
      </c>
    </row>
    <row r="57" spans="1:54" s="37" customFormat="1" ht="162" customHeight="1" x14ac:dyDescent="0.2">
      <c r="A57" s="178">
        <v>47</v>
      </c>
      <c r="B57" s="238">
        <v>3</v>
      </c>
      <c r="C57" s="238">
        <v>3.1</v>
      </c>
      <c r="D57" s="44" t="s">
        <v>57</v>
      </c>
      <c r="E57" s="254" t="s">
        <v>58</v>
      </c>
      <c r="F57" s="41" t="s">
        <v>59</v>
      </c>
      <c r="G57" s="255">
        <v>43100</v>
      </c>
      <c r="H57" s="238" t="s">
        <v>35</v>
      </c>
      <c r="I57" s="41" t="s">
        <v>520</v>
      </c>
      <c r="J57" s="41" t="s">
        <v>60</v>
      </c>
      <c r="K57" s="41" t="s">
        <v>521</v>
      </c>
      <c r="L57" s="70" t="s">
        <v>96</v>
      </c>
      <c r="M57" s="67">
        <v>1</v>
      </c>
      <c r="N57" s="67">
        <v>1</v>
      </c>
      <c r="O57" s="49">
        <v>1</v>
      </c>
      <c r="P57" s="49">
        <v>1</v>
      </c>
      <c r="Q57" s="49">
        <v>1</v>
      </c>
      <c r="R57" s="49">
        <v>1</v>
      </c>
      <c r="S57" s="49">
        <v>1</v>
      </c>
      <c r="T57" s="49">
        <v>1</v>
      </c>
      <c r="U57" s="320">
        <f>SUM(S57/T57)</f>
        <v>1</v>
      </c>
      <c r="V57" s="40">
        <v>215</v>
      </c>
      <c r="W57" s="40">
        <v>215</v>
      </c>
      <c r="X57" s="320">
        <f>SUM(V57/W57)</f>
        <v>1</v>
      </c>
      <c r="Y57" s="40">
        <v>294</v>
      </c>
      <c r="Z57" s="40">
        <v>296</v>
      </c>
      <c r="AA57" s="320">
        <f>SUM(Y57/Z57)</f>
        <v>0.9932432432432432</v>
      </c>
      <c r="AB57" s="40">
        <v>390</v>
      </c>
      <c r="AC57" s="40">
        <v>392</v>
      </c>
      <c r="AD57" s="320">
        <f>SUM(AB57/AC57)</f>
        <v>0.99489795918367352</v>
      </c>
      <c r="AE57" s="312">
        <f>SUM(AD57)/R57</f>
        <v>0.99489795918367352</v>
      </c>
      <c r="AF57" s="303" t="str">
        <f>IF(AE57&lt;80%,"MÍNIMO",IF(AE57&gt;=80%,IF(AE57&lt;90%,"ACEPTABLE",IF(AE57&gt;=90%,"SATISFACTORIO"))))</f>
        <v>SATISFACTORIO</v>
      </c>
      <c r="AG57" s="276" t="s">
        <v>70</v>
      </c>
      <c r="AH57" s="108"/>
      <c r="AI57" s="51" t="s">
        <v>38</v>
      </c>
      <c r="AJ57" s="51" t="s">
        <v>65</v>
      </c>
      <c r="AK57" s="51" t="s">
        <v>66</v>
      </c>
      <c r="AL57" s="36"/>
      <c r="AM57" s="36"/>
      <c r="AN57" s="36"/>
      <c r="AO57" s="36"/>
      <c r="AP57" s="36"/>
      <c r="AQ57" s="36"/>
      <c r="AR57" s="36"/>
      <c r="AS57" s="36"/>
      <c r="AT57" s="36"/>
      <c r="AU57" s="36"/>
      <c r="AV57" s="36"/>
      <c r="AW57" s="36"/>
      <c r="AX57" s="36"/>
      <c r="AY57" s="36"/>
      <c r="AZ57" s="36"/>
      <c r="BA57" s="36"/>
      <c r="BB57" s="36"/>
    </row>
    <row r="58" spans="1:54" s="37" customFormat="1" ht="116.25" customHeight="1" x14ac:dyDescent="0.2">
      <c r="A58" s="178">
        <v>48</v>
      </c>
      <c r="B58" s="238">
        <v>3</v>
      </c>
      <c r="C58" s="238" t="s">
        <v>62</v>
      </c>
      <c r="D58" s="44" t="s">
        <v>57</v>
      </c>
      <c r="E58" s="254" t="s">
        <v>58</v>
      </c>
      <c r="F58" s="41" t="s">
        <v>63</v>
      </c>
      <c r="G58" s="255">
        <v>43100</v>
      </c>
      <c r="H58" s="238" t="s">
        <v>35</v>
      </c>
      <c r="I58" s="41" t="s">
        <v>522</v>
      </c>
      <c r="J58" s="41" t="s">
        <v>68</v>
      </c>
      <c r="K58" s="41" t="s">
        <v>523</v>
      </c>
      <c r="L58" s="70" t="s">
        <v>96</v>
      </c>
      <c r="M58" s="179">
        <v>1</v>
      </c>
      <c r="N58" s="179">
        <v>1</v>
      </c>
      <c r="O58" s="49">
        <v>1</v>
      </c>
      <c r="P58" s="49">
        <v>1</v>
      </c>
      <c r="Q58" s="49">
        <v>1</v>
      </c>
      <c r="R58" s="49">
        <v>1</v>
      </c>
      <c r="S58" s="40">
        <v>63</v>
      </c>
      <c r="T58" s="40">
        <v>63</v>
      </c>
      <c r="U58" s="320">
        <f>SUM(S58/T58)</f>
        <v>1</v>
      </c>
      <c r="V58" s="40">
        <v>132</v>
      </c>
      <c r="W58" s="40">
        <v>137</v>
      </c>
      <c r="X58" s="320">
        <f>SUM(V58/W58)</f>
        <v>0.96350364963503654</v>
      </c>
      <c r="Y58" s="40">
        <v>198</v>
      </c>
      <c r="Z58" s="40">
        <v>204</v>
      </c>
      <c r="AA58" s="320">
        <f>SUM(Y58/Z58)</f>
        <v>0.97058823529411764</v>
      </c>
      <c r="AB58" s="40">
        <v>287</v>
      </c>
      <c r="AC58" s="40">
        <v>293</v>
      </c>
      <c r="AD58" s="320">
        <f>SUM(AB58/AC58)</f>
        <v>0.97952218430034133</v>
      </c>
      <c r="AE58" s="312">
        <f>SUM(AD58)/R58</f>
        <v>0.97952218430034133</v>
      </c>
      <c r="AF58" s="303" t="str">
        <f>IF(AE58&lt;80%,"MÍNIMO",IF(AE58&gt;=80%,IF(AE58&lt;90%,"ACEPTABLE",IF(AE58&gt;=90%,"SATISFACTORIO"))))</f>
        <v>SATISFACTORIO</v>
      </c>
      <c r="AG58" s="276" t="s">
        <v>524</v>
      </c>
      <c r="AH58" s="83"/>
      <c r="AI58" s="51" t="s">
        <v>38</v>
      </c>
      <c r="AJ58" s="51" t="s">
        <v>67</v>
      </c>
      <c r="AK58" s="51" t="s">
        <v>66</v>
      </c>
      <c r="AL58" s="36"/>
      <c r="AM58" s="36"/>
      <c r="AN58" s="36"/>
      <c r="AO58" s="36"/>
      <c r="AP58" s="36"/>
      <c r="AQ58" s="36"/>
      <c r="AR58" s="36"/>
      <c r="AS58" s="36"/>
      <c r="AT58" s="36"/>
      <c r="AU58" s="36"/>
      <c r="AV58" s="36"/>
      <c r="AW58" s="36"/>
      <c r="AX58" s="36"/>
      <c r="AY58" s="36"/>
      <c r="AZ58" s="36"/>
      <c r="BA58" s="36"/>
      <c r="BB58" s="36"/>
    </row>
    <row r="59" spans="1:54" s="33" customFormat="1" ht="213.75" customHeight="1" x14ac:dyDescent="0.2">
      <c r="A59" s="178">
        <v>49</v>
      </c>
      <c r="B59" s="51">
        <v>4</v>
      </c>
      <c r="C59" s="51" t="s">
        <v>193</v>
      </c>
      <c r="D59" s="57" t="s">
        <v>194</v>
      </c>
      <c r="E59" s="64" t="s">
        <v>195</v>
      </c>
      <c r="F59" s="64" t="s">
        <v>196</v>
      </c>
      <c r="G59" s="73">
        <v>42916</v>
      </c>
      <c r="H59" s="77" t="s">
        <v>35</v>
      </c>
      <c r="I59" s="78" t="s">
        <v>197</v>
      </c>
      <c r="J59" s="79" t="s">
        <v>198</v>
      </c>
      <c r="K59" s="78" t="s">
        <v>199</v>
      </c>
      <c r="L59" s="70" t="s">
        <v>96</v>
      </c>
      <c r="M59" s="43" t="s">
        <v>97</v>
      </c>
      <c r="N59" s="80">
        <v>1</v>
      </c>
      <c r="O59" s="78" t="s">
        <v>79</v>
      </c>
      <c r="P59" s="78">
        <v>1</v>
      </c>
      <c r="Q59" s="78" t="s">
        <v>79</v>
      </c>
      <c r="R59" s="78" t="s">
        <v>79</v>
      </c>
      <c r="S59" s="40" t="s">
        <v>79</v>
      </c>
      <c r="T59" s="40" t="s">
        <v>97</v>
      </c>
      <c r="U59" s="320" t="s">
        <v>79</v>
      </c>
      <c r="V59" s="49">
        <v>1</v>
      </c>
      <c r="W59" s="40" t="s">
        <v>79</v>
      </c>
      <c r="X59" s="320">
        <f>SUM(V59)</f>
        <v>1</v>
      </c>
      <c r="Y59" s="40" t="s">
        <v>79</v>
      </c>
      <c r="Z59" s="40" t="s">
        <v>200</v>
      </c>
      <c r="AA59" s="320"/>
      <c r="AB59" s="40" t="s">
        <v>79</v>
      </c>
      <c r="AC59" s="40" t="s">
        <v>97</v>
      </c>
      <c r="AD59" s="320"/>
      <c r="AE59" s="313">
        <f>SUM(X59)</f>
        <v>1</v>
      </c>
      <c r="AF59" s="303" t="str">
        <f>IF(AE59=0%,"MINIMO",IF(AE59=100%,"SATISFACTORIO"))</f>
        <v>SATISFACTORIO</v>
      </c>
      <c r="AG59" s="277" t="s">
        <v>525</v>
      </c>
      <c r="AH59" s="81"/>
      <c r="AI59" s="51" t="s">
        <v>201</v>
      </c>
      <c r="AJ59" s="51" t="s">
        <v>79</v>
      </c>
      <c r="AK59" s="51" t="s">
        <v>202</v>
      </c>
    </row>
    <row r="60" spans="1:54" s="33" customFormat="1" ht="284.25" customHeight="1" x14ac:dyDescent="0.2">
      <c r="A60" s="178">
        <v>50</v>
      </c>
      <c r="B60" s="51">
        <v>4</v>
      </c>
      <c r="C60" s="51" t="s">
        <v>193</v>
      </c>
      <c r="D60" s="57" t="s">
        <v>194</v>
      </c>
      <c r="E60" s="57" t="s">
        <v>203</v>
      </c>
      <c r="F60" s="64" t="s">
        <v>204</v>
      </c>
      <c r="G60" s="65">
        <v>43100</v>
      </c>
      <c r="H60" s="77" t="s">
        <v>35</v>
      </c>
      <c r="I60" s="64" t="s">
        <v>205</v>
      </c>
      <c r="J60" s="64" t="s">
        <v>206</v>
      </c>
      <c r="K60" s="67" t="s">
        <v>207</v>
      </c>
      <c r="L60" s="70" t="s">
        <v>96</v>
      </c>
      <c r="M60" s="82"/>
      <c r="N60" s="80">
        <v>1</v>
      </c>
      <c r="O60" s="67">
        <v>0.25</v>
      </c>
      <c r="P60" s="67">
        <v>0.25</v>
      </c>
      <c r="Q60" s="67">
        <v>0.25</v>
      </c>
      <c r="R60" s="67">
        <v>0.25</v>
      </c>
      <c r="S60" s="40">
        <v>3</v>
      </c>
      <c r="T60" s="40">
        <v>8</v>
      </c>
      <c r="U60" s="320">
        <f>SUM(S60/T60)</f>
        <v>0.375</v>
      </c>
      <c r="V60" s="40">
        <v>5</v>
      </c>
      <c r="W60" s="40">
        <v>8</v>
      </c>
      <c r="X60" s="320">
        <f>SUM(V60/W60)</f>
        <v>0.625</v>
      </c>
      <c r="Y60" s="40">
        <v>6</v>
      </c>
      <c r="Z60" s="40">
        <v>8</v>
      </c>
      <c r="AA60" s="320">
        <f t="shared" ref="AA60:AA65" si="13">SUM(Y60/Z60)</f>
        <v>0.75</v>
      </c>
      <c r="AB60" s="40">
        <v>8</v>
      </c>
      <c r="AC60" s="40">
        <v>8</v>
      </c>
      <c r="AD60" s="320">
        <f t="shared" ref="AD60:AD65" si="14">SUM(AB60/AC60)</f>
        <v>1</v>
      </c>
      <c r="AE60" s="313">
        <f>SUM(AD60)/(O60+P60+Q60+R60)</f>
        <v>1</v>
      </c>
      <c r="AF60" s="303" t="str">
        <f t="shared" ref="AF60:AF65" si="15">IF(AE60&lt;80%,"MINIMO",IF(AE60&gt;=80%,IF(AE60&lt;90%,"ACEPTABLE",IF(AE60&gt;=90%,"SATISFACTORIO"))))</f>
        <v>SATISFACTORIO</v>
      </c>
      <c r="AG60" s="278" t="s">
        <v>463</v>
      </c>
      <c r="AH60" s="83"/>
      <c r="AI60" s="51" t="s">
        <v>38</v>
      </c>
      <c r="AJ60" s="51" t="s">
        <v>208</v>
      </c>
      <c r="AK60" s="51" t="s">
        <v>66</v>
      </c>
    </row>
    <row r="61" spans="1:54" s="33" customFormat="1" ht="114.75" x14ac:dyDescent="0.2">
      <c r="A61" s="178">
        <v>51</v>
      </c>
      <c r="B61" s="51">
        <v>4</v>
      </c>
      <c r="C61" s="51" t="s">
        <v>209</v>
      </c>
      <c r="D61" s="57" t="s">
        <v>194</v>
      </c>
      <c r="E61" s="64" t="s">
        <v>210</v>
      </c>
      <c r="F61" s="64" t="s">
        <v>211</v>
      </c>
      <c r="G61" s="65">
        <v>43100</v>
      </c>
      <c r="H61" s="77" t="s">
        <v>35</v>
      </c>
      <c r="I61" s="64" t="s">
        <v>212</v>
      </c>
      <c r="J61" s="64" t="s">
        <v>213</v>
      </c>
      <c r="K61" s="64" t="s">
        <v>214</v>
      </c>
      <c r="L61" s="70" t="s">
        <v>96</v>
      </c>
      <c r="M61" s="84">
        <v>37000</v>
      </c>
      <c r="N61" s="85">
        <v>1</v>
      </c>
      <c r="O61" s="67">
        <v>0.1</v>
      </c>
      <c r="P61" s="67">
        <v>0.25</v>
      </c>
      <c r="Q61" s="67">
        <v>0.3</v>
      </c>
      <c r="R61" s="67">
        <v>0.35</v>
      </c>
      <c r="S61" s="40">
        <v>2632</v>
      </c>
      <c r="T61" s="40">
        <v>37000</v>
      </c>
      <c r="U61" s="320">
        <f>SUM(S61/T61)</f>
        <v>7.1135135135135141E-2</v>
      </c>
      <c r="V61" s="40">
        <v>24550</v>
      </c>
      <c r="W61" s="40">
        <v>37000</v>
      </c>
      <c r="X61" s="320">
        <f>SUM(V61/W61)</f>
        <v>0.66351351351351351</v>
      </c>
      <c r="Y61" s="40">
        <v>47618</v>
      </c>
      <c r="Z61" s="40">
        <v>37000</v>
      </c>
      <c r="AA61" s="320">
        <f>SUM(Y61/Z61)</f>
        <v>1.2869729729729731</v>
      </c>
      <c r="AB61" s="40">
        <v>64566</v>
      </c>
      <c r="AC61" s="40">
        <v>66000</v>
      </c>
      <c r="AD61" s="320">
        <f>SUM(AB61/AC61)</f>
        <v>0.97827272727272729</v>
      </c>
      <c r="AE61" s="313">
        <f>SUM(AD61)/(O61+P61+Q61+R61)</f>
        <v>0.9782727272727274</v>
      </c>
      <c r="AF61" s="303" t="str">
        <f t="shared" si="15"/>
        <v>SATISFACTORIO</v>
      </c>
      <c r="AG61" s="279" t="s">
        <v>526</v>
      </c>
      <c r="AH61" s="83"/>
      <c r="AI61" s="51" t="s">
        <v>38</v>
      </c>
      <c r="AJ61" s="51" t="s">
        <v>208</v>
      </c>
      <c r="AK61" s="51" t="s">
        <v>66</v>
      </c>
    </row>
    <row r="62" spans="1:54" s="33" customFormat="1" ht="192" customHeight="1" x14ac:dyDescent="0.2">
      <c r="A62" s="178">
        <v>52</v>
      </c>
      <c r="B62" s="51">
        <v>4</v>
      </c>
      <c r="C62" s="51" t="s">
        <v>209</v>
      </c>
      <c r="D62" s="57" t="s">
        <v>194</v>
      </c>
      <c r="E62" s="64" t="s">
        <v>215</v>
      </c>
      <c r="F62" s="64" t="s">
        <v>216</v>
      </c>
      <c r="G62" s="65">
        <v>43100</v>
      </c>
      <c r="H62" s="77" t="s">
        <v>35</v>
      </c>
      <c r="I62" s="64" t="s">
        <v>527</v>
      </c>
      <c r="J62" s="64" t="s">
        <v>217</v>
      </c>
      <c r="K62" s="67" t="s">
        <v>218</v>
      </c>
      <c r="L62" s="70" t="s">
        <v>96</v>
      </c>
      <c r="M62" s="82">
        <v>4</v>
      </c>
      <c r="N62" s="86">
        <v>1</v>
      </c>
      <c r="O62" s="49">
        <v>0.25</v>
      </c>
      <c r="P62" s="49">
        <v>0.25</v>
      </c>
      <c r="Q62" s="49">
        <v>0.25</v>
      </c>
      <c r="R62" s="49">
        <v>0.25</v>
      </c>
      <c r="S62" s="40">
        <v>1</v>
      </c>
      <c r="T62" s="40">
        <v>4</v>
      </c>
      <c r="U62" s="320">
        <f>SUM(S62/T62)</f>
        <v>0.25</v>
      </c>
      <c r="V62" s="40">
        <v>2</v>
      </c>
      <c r="W62" s="40">
        <v>4</v>
      </c>
      <c r="X62" s="320">
        <f>SUM(V62/W62)</f>
        <v>0.5</v>
      </c>
      <c r="Y62" s="40">
        <v>3</v>
      </c>
      <c r="Z62" s="40">
        <v>4</v>
      </c>
      <c r="AA62" s="320">
        <f>SUM(Y62/Z62)</f>
        <v>0.75</v>
      </c>
      <c r="AB62" s="40">
        <v>4</v>
      </c>
      <c r="AC62" s="40">
        <v>4</v>
      </c>
      <c r="AD62" s="320">
        <f>SUM(AB62/AC62)</f>
        <v>1</v>
      </c>
      <c r="AE62" s="313">
        <f>SUM(AD62)/(O62+P62+Q62+R62)</f>
        <v>1</v>
      </c>
      <c r="AF62" s="303" t="str">
        <f t="shared" si="15"/>
        <v>SATISFACTORIO</v>
      </c>
      <c r="AG62" s="265" t="s">
        <v>528</v>
      </c>
      <c r="AH62" s="83"/>
      <c r="AI62" s="51" t="s">
        <v>38</v>
      </c>
      <c r="AJ62" s="51" t="s">
        <v>208</v>
      </c>
      <c r="AK62" s="51" t="s">
        <v>66</v>
      </c>
    </row>
    <row r="63" spans="1:54" s="33" customFormat="1" ht="81.75" customHeight="1" x14ac:dyDescent="0.2">
      <c r="A63" s="178">
        <v>53</v>
      </c>
      <c r="B63" s="51">
        <v>4</v>
      </c>
      <c r="C63" s="51" t="s">
        <v>209</v>
      </c>
      <c r="D63" s="57" t="s">
        <v>194</v>
      </c>
      <c r="E63" s="64" t="s">
        <v>195</v>
      </c>
      <c r="F63" s="64" t="s">
        <v>529</v>
      </c>
      <c r="G63" s="65">
        <v>43100</v>
      </c>
      <c r="H63" s="77" t="s">
        <v>35</v>
      </c>
      <c r="I63" s="158" t="s">
        <v>219</v>
      </c>
      <c r="J63" s="158" t="s">
        <v>220</v>
      </c>
      <c r="K63" s="67" t="s">
        <v>221</v>
      </c>
      <c r="L63" s="70" t="s">
        <v>96</v>
      </c>
      <c r="M63" s="84" t="s">
        <v>222</v>
      </c>
      <c r="N63" s="85">
        <v>1</v>
      </c>
      <c r="O63" s="67">
        <v>0.25</v>
      </c>
      <c r="P63" s="67">
        <v>0.25</v>
      </c>
      <c r="Q63" s="67">
        <v>0.25</v>
      </c>
      <c r="R63" s="67">
        <v>0.25</v>
      </c>
      <c r="S63" s="60">
        <v>4</v>
      </c>
      <c r="T63" s="60">
        <v>8</v>
      </c>
      <c r="U63" s="317">
        <f>SUM(S63/T63)</f>
        <v>0.5</v>
      </c>
      <c r="V63" s="60">
        <v>6</v>
      </c>
      <c r="W63" s="60">
        <v>8</v>
      </c>
      <c r="X63" s="317">
        <f>SUM(V63/W63)</f>
        <v>0.75</v>
      </c>
      <c r="Y63" s="60">
        <v>6</v>
      </c>
      <c r="Z63" s="60">
        <v>8</v>
      </c>
      <c r="AA63" s="320">
        <f t="shared" si="13"/>
        <v>0.75</v>
      </c>
      <c r="AB63" s="40">
        <v>8</v>
      </c>
      <c r="AC63" s="40">
        <v>8</v>
      </c>
      <c r="AD63" s="320">
        <f>SUM(AB63/AC63)</f>
        <v>1</v>
      </c>
      <c r="AE63" s="313">
        <f>SUM(AD63)/(O63+P63+Q63+R63)</f>
        <v>1</v>
      </c>
      <c r="AF63" s="303" t="str">
        <f t="shared" si="15"/>
        <v>SATISFACTORIO</v>
      </c>
      <c r="AG63" s="280" t="s">
        <v>530</v>
      </c>
      <c r="AH63" s="83"/>
      <c r="AI63" s="51" t="s">
        <v>38</v>
      </c>
      <c r="AJ63" s="51" t="s">
        <v>208</v>
      </c>
      <c r="AK63" s="51" t="s">
        <v>66</v>
      </c>
    </row>
    <row r="64" spans="1:54" s="33" customFormat="1" ht="132" customHeight="1" x14ac:dyDescent="0.2">
      <c r="A64" s="178">
        <v>54</v>
      </c>
      <c r="B64" s="51">
        <v>4</v>
      </c>
      <c r="C64" s="51" t="s">
        <v>223</v>
      </c>
      <c r="D64" s="57" t="s">
        <v>194</v>
      </c>
      <c r="E64" s="64" t="s">
        <v>224</v>
      </c>
      <c r="F64" s="64" t="s">
        <v>225</v>
      </c>
      <c r="G64" s="65">
        <v>43084</v>
      </c>
      <c r="H64" s="77" t="s">
        <v>35</v>
      </c>
      <c r="I64" s="158" t="s">
        <v>226</v>
      </c>
      <c r="J64" s="158" t="s">
        <v>227</v>
      </c>
      <c r="K64" s="67" t="s">
        <v>228</v>
      </c>
      <c r="L64" s="70" t="s">
        <v>96</v>
      </c>
      <c r="M64" s="82">
        <v>4</v>
      </c>
      <c r="N64" s="86">
        <v>1</v>
      </c>
      <c r="O64" s="49" t="s">
        <v>97</v>
      </c>
      <c r="P64" s="49" t="s">
        <v>97</v>
      </c>
      <c r="Q64" s="49">
        <v>0.5</v>
      </c>
      <c r="R64" s="49">
        <v>0.5</v>
      </c>
      <c r="S64" s="40" t="s">
        <v>79</v>
      </c>
      <c r="T64" s="40" t="s">
        <v>79</v>
      </c>
      <c r="U64" s="320"/>
      <c r="V64" s="40" t="s">
        <v>229</v>
      </c>
      <c r="W64" s="40" t="s">
        <v>229</v>
      </c>
      <c r="X64" s="320"/>
      <c r="Y64" s="40">
        <v>0</v>
      </c>
      <c r="Z64" s="40">
        <v>10</v>
      </c>
      <c r="AA64" s="320">
        <f>SUM(Y64/Z64)</f>
        <v>0</v>
      </c>
      <c r="AB64" s="40">
        <v>10</v>
      </c>
      <c r="AC64" s="40">
        <v>10</v>
      </c>
      <c r="AD64" s="320">
        <f t="shared" si="14"/>
        <v>1</v>
      </c>
      <c r="AE64" s="314">
        <f>SUM(AD64/(Q64+R64))</f>
        <v>1</v>
      </c>
      <c r="AF64" s="303" t="str">
        <f t="shared" si="15"/>
        <v>SATISFACTORIO</v>
      </c>
      <c r="AG64" s="281" t="s">
        <v>531</v>
      </c>
      <c r="AH64" s="87"/>
      <c r="AI64" s="51" t="s">
        <v>38</v>
      </c>
      <c r="AJ64" s="51" t="s">
        <v>208</v>
      </c>
      <c r="AK64" s="51" t="s">
        <v>66</v>
      </c>
    </row>
    <row r="65" spans="1:54" s="33" customFormat="1" ht="137.25" customHeight="1" x14ac:dyDescent="0.2">
      <c r="A65" s="178">
        <v>55</v>
      </c>
      <c r="B65" s="51">
        <v>4</v>
      </c>
      <c r="C65" s="51" t="s">
        <v>230</v>
      </c>
      <c r="D65" s="57" t="s">
        <v>194</v>
      </c>
      <c r="E65" s="64" t="s">
        <v>210</v>
      </c>
      <c r="F65" s="64" t="s">
        <v>231</v>
      </c>
      <c r="G65" s="65">
        <v>43100</v>
      </c>
      <c r="H65" s="77" t="s">
        <v>35</v>
      </c>
      <c r="I65" s="158" t="s">
        <v>232</v>
      </c>
      <c r="J65" s="158" t="s">
        <v>233</v>
      </c>
      <c r="K65" s="88" t="s">
        <v>234</v>
      </c>
      <c r="L65" s="70" t="s">
        <v>96</v>
      </c>
      <c r="M65" s="84">
        <v>8</v>
      </c>
      <c r="N65" s="85">
        <v>1</v>
      </c>
      <c r="O65" s="67">
        <v>0.25</v>
      </c>
      <c r="P65" s="67">
        <v>0.25</v>
      </c>
      <c r="Q65" s="67">
        <v>0.25</v>
      </c>
      <c r="R65" s="67">
        <v>0.25</v>
      </c>
      <c r="S65" s="51">
        <v>2</v>
      </c>
      <c r="T65" s="51">
        <v>8</v>
      </c>
      <c r="U65" s="317">
        <f>SUM(S65/T65)</f>
        <v>0.25</v>
      </c>
      <c r="V65" s="60">
        <v>4</v>
      </c>
      <c r="W65" s="60">
        <v>8</v>
      </c>
      <c r="X65" s="317">
        <f>SUM(V65/W65)</f>
        <v>0.5</v>
      </c>
      <c r="Y65" s="60">
        <v>6</v>
      </c>
      <c r="Z65" s="60">
        <v>8</v>
      </c>
      <c r="AA65" s="320">
        <f t="shared" si="13"/>
        <v>0.75</v>
      </c>
      <c r="AB65" s="302">
        <v>8</v>
      </c>
      <c r="AC65" s="302">
        <v>8</v>
      </c>
      <c r="AD65" s="320">
        <f t="shared" si="14"/>
        <v>1</v>
      </c>
      <c r="AE65" s="313">
        <f>SUM(AD65)/(O65+P65+Q65+R65)</f>
        <v>1</v>
      </c>
      <c r="AF65" s="303" t="str">
        <f t="shared" si="15"/>
        <v>SATISFACTORIO</v>
      </c>
      <c r="AG65" s="282" t="s">
        <v>532</v>
      </c>
      <c r="AH65" s="116"/>
      <c r="AI65" s="51" t="s">
        <v>38</v>
      </c>
      <c r="AJ65" s="51" t="s">
        <v>208</v>
      </c>
      <c r="AK65" s="51" t="s">
        <v>66</v>
      </c>
    </row>
    <row r="66" spans="1:54" s="33" customFormat="1" ht="144" customHeight="1" x14ac:dyDescent="0.2">
      <c r="A66" s="178">
        <v>56</v>
      </c>
      <c r="B66" s="90">
        <v>4</v>
      </c>
      <c r="C66" s="90" t="s">
        <v>395</v>
      </c>
      <c r="D66" s="105" t="s">
        <v>396</v>
      </c>
      <c r="E66" s="51" t="s">
        <v>397</v>
      </c>
      <c r="F66" s="64" t="s">
        <v>398</v>
      </c>
      <c r="G66" s="144">
        <v>43100</v>
      </c>
      <c r="H66" s="51" t="s">
        <v>35</v>
      </c>
      <c r="I66" s="64" t="s">
        <v>399</v>
      </c>
      <c r="J66" s="64" t="s">
        <v>400</v>
      </c>
      <c r="K66" s="51" t="s">
        <v>401</v>
      </c>
      <c r="L66" s="70" t="s">
        <v>96</v>
      </c>
      <c r="M66" s="189">
        <v>0.95</v>
      </c>
      <c r="N66" s="68">
        <v>1</v>
      </c>
      <c r="O66" s="49">
        <v>0.25</v>
      </c>
      <c r="P66" s="49">
        <v>0.25</v>
      </c>
      <c r="Q66" s="49">
        <v>0.25</v>
      </c>
      <c r="R66" s="49">
        <v>0.25</v>
      </c>
      <c r="S66" s="256">
        <v>28834220291</v>
      </c>
      <c r="T66" s="256">
        <v>134054647000</v>
      </c>
      <c r="U66" s="328">
        <f>+S66/T66</f>
        <v>0.21509303061310511</v>
      </c>
      <c r="V66" s="256">
        <v>60576441340</v>
      </c>
      <c r="W66" s="256">
        <v>134054647000</v>
      </c>
      <c r="X66" s="328">
        <f>SUM(V66/W66)</f>
        <v>0.45187871286550774</v>
      </c>
      <c r="Y66" s="257">
        <v>89821716411</v>
      </c>
      <c r="Z66" s="256">
        <v>134054647000</v>
      </c>
      <c r="AA66" s="328">
        <f t="shared" ref="AA66:AA72" si="16">SUM(Y66/Z66)</f>
        <v>0.67003806597618354</v>
      </c>
      <c r="AB66" s="256">
        <f>130640172017</f>
        <v>130640172017</v>
      </c>
      <c r="AC66" s="256">
        <v>134054647000</v>
      </c>
      <c r="AD66" s="328">
        <f>SUM(AB66/AC66)</f>
        <v>0.9745292307322998</v>
      </c>
      <c r="AE66" s="309">
        <f>SUM(AD66)/(O66+P66+Q66+R66)</f>
        <v>0.9745292307322998</v>
      </c>
      <c r="AF66" s="304" t="str">
        <f>IF(AE66&lt;80%,"MÍNIMO",IF(AE66&gt;=80%,IF(AE66&lt;90%,"ACEPTABLE",IF(AE66&gt;=90%,"SATISFACTORIO"))))</f>
        <v>SATISFACTORIO</v>
      </c>
      <c r="AG66" s="283" t="s">
        <v>464</v>
      </c>
      <c r="AH66" s="145">
        <v>1</v>
      </c>
      <c r="AI66" s="146" t="s">
        <v>61</v>
      </c>
      <c r="AJ66" s="90" t="s">
        <v>291</v>
      </c>
      <c r="AK66" s="51" t="s">
        <v>64</v>
      </c>
    </row>
    <row r="67" spans="1:54" s="33" customFormat="1" ht="120" x14ac:dyDescent="0.2">
      <c r="A67" s="178">
        <v>57</v>
      </c>
      <c r="B67" s="90">
        <v>4</v>
      </c>
      <c r="C67" s="90" t="s">
        <v>395</v>
      </c>
      <c r="D67" s="105" t="s">
        <v>396</v>
      </c>
      <c r="E67" s="51" t="s">
        <v>397</v>
      </c>
      <c r="F67" s="64" t="s">
        <v>402</v>
      </c>
      <c r="G67" s="144">
        <v>43100</v>
      </c>
      <c r="H67" s="147" t="s">
        <v>35</v>
      </c>
      <c r="I67" s="148" t="s">
        <v>403</v>
      </c>
      <c r="J67" s="148" t="s">
        <v>533</v>
      </c>
      <c r="K67" s="147" t="s">
        <v>404</v>
      </c>
      <c r="L67" s="70" t="s">
        <v>96</v>
      </c>
      <c r="M67" s="68">
        <v>0.97</v>
      </c>
      <c r="N67" s="68">
        <v>1</v>
      </c>
      <c r="O67" s="49">
        <v>0.25</v>
      </c>
      <c r="P67" s="49">
        <v>0.25</v>
      </c>
      <c r="Q67" s="49">
        <v>0.25</v>
      </c>
      <c r="R67" s="49">
        <v>0.25</v>
      </c>
      <c r="S67" s="256">
        <v>26427885240</v>
      </c>
      <c r="T67" s="256">
        <v>134054647000</v>
      </c>
      <c r="U67" s="328">
        <f>+S67/T67</f>
        <v>0.19714262676772407</v>
      </c>
      <c r="V67" s="256">
        <f>34510092040+26427885240</f>
        <v>60937977280</v>
      </c>
      <c r="W67" s="256">
        <v>134054647000</v>
      </c>
      <c r="X67" s="328">
        <f>SUM(V67/W67)</f>
        <v>0.4545756424243913</v>
      </c>
      <c r="Y67" s="257">
        <v>90782219061</v>
      </c>
      <c r="Z67" s="256">
        <v>134054647000</v>
      </c>
      <c r="AA67" s="328">
        <f t="shared" si="16"/>
        <v>0.6772030742134586</v>
      </c>
      <c r="AB67" s="256">
        <v>118839595140</v>
      </c>
      <c r="AC67" s="256">
        <v>134054647000</v>
      </c>
      <c r="AD67" s="328">
        <f>SUM(AB67/AC67)</f>
        <v>0.88650112323222929</v>
      </c>
      <c r="AE67" s="309">
        <f>SUM(AD67)/(O67+P67+Q67+R67)</f>
        <v>0.88650112323222929</v>
      </c>
      <c r="AF67" s="48" t="str">
        <f>IF(AE67&lt;80%,"MÍNIMO",IF(AE67&gt;=80%,IF(AE67&lt;90%,"ACEPTABLE",IF(AE67&gt;=90%,"SATISFACTORIO"))))</f>
        <v>ACEPTABLE</v>
      </c>
      <c r="AG67" s="283" t="s">
        <v>534</v>
      </c>
      <c r="AH67" s="145">
        <v>2</v>
      </c>
      <c r="AI67" s="146" t="s">
        <v>61</v>
      </c>
      <c r="AJ67" s="90" t="s">
        <v>291</v>
      </c>
      <c r="AK67" s="51" t="s">
        <v>64</v>
      </c>
    </row>
    <row r="68" spans="1:54" s="33" customFormat="1" ht="156" x14ac:dyDescent="0.2">
      <c r="A68" s="178">
        <v>58</v>
      </c>
      <c r="B68" s="90">
        <v>4</v>
      </c>
      <c r="C68" s="90" t="s">
        <v>395</v>
      </c>
      <c r="D68" s="105" t="s">
        <v>396</v>
      </c>
      <c r="E68" s="51" t="s">
        <v>397</v>
      </c>
      <c r="F68" s="64" t="s">
        <v>405</v>
      </c>
      <c r="G68" s="144">
        <v>43100</v>
      </c>
      <c r="H68" s="107" t="s">
        <v>35</v>
      </c>
      <c r="I68" s="149" t="s">
        <v>406</v>
      </c>
      <c r="J68" s="149" t="s">
        <v>407</v>
      </c>
      <c r="K68" s="107" t="s">
        <v>408</v>
      </c>
      <c r="L68" s="70" t="s">
        <v>96</v>
      </c>
      <c r="M68" s="68">
        <v>1</v>
      </c>
      <c r="N68" s="68">
        <v>1</v>
      </c>
      <c r="O68" s="49">
        <v>0.25</v>
      </c>
      <c r="P68" s="49">
        <v>0.25</v>
      </c>
      <c r="Q68" s="49">
        <v>0.25</v>
      </c>
      <c r="R68" s="49">
        <v>0.25</v>
      </c>
      <c r="S68" s="60">
        <v>1</v>
      </c>
      <c r="T68" s="60">
        <v>4</v>
      </c>
      <c r="U68" s="328">
        <f>+S68/T68</f>
        <v>0.25</v>
      </c>
      <c r="V68" s="60">
        <v>2</v>
      </c>
      <c r="W68" s="60">
        <v>4</v>
      </c>
      <c r="X68" s="328">
        <f>SUM(V68/W68)</f>
        <v>0.5</v>
      </c>
      <c r="Y68" s="150">
        <v>3</v>
      </c>
      <c r="Z68" s="60">
        <v>4</v>
      </c>
      <c r="AA68" s="328">
        <f t="shared" si="16"/>
        <v>0.75</v>
      </c>
      <c r="AB68" s="150">
        <v>4</v>
      </c>
      <c r="AC68" s="150">
        <v>4</v>
      </c>
      <c r="AD68" s="328">
        <f>SUM(AB68/AC68)</f>
        <v>1</v>
      </c>
      <c r="AE68" s="309">
        <f t="shared" ref="AE68" si="17">SUM(AD68)/(O68+P68+Q68+R68)</f>
        <v>1</v>
      </c>
      <c r="AF68" s="304" t="str">
        <f>IF(AE68&lt;80%,"MÍNIMO",IF(AE68&gt;=80%,IF(AE68&lt;100%,"ACEPTABLE",IF(AE68=100%,"SATISFACTORIO"))))</f>
        <v>SATISFACTORIO</v>
      </c>
      <c r="AG68" s="284" t="s">
        <v>465</v>
      </c>
      <c r="AH68" s="145">
        <v>3</v>
      </c>
      <c r="AI68" s="146" t="s">
        <v>61</v>
      </c>
      <c r="AJ68" s="90" t="s">
        <v>126</v>
      </c>
      <c r="AK68" s="92" t="s">
        <v>409</v>
      </c>
    </row>
    <row r="69" spans="1:54" s="37" customFormat="1" ht="135.75" customHeight="1" x14ac:dyDescent="0.2">
      <c r="A69" s="178">
        <v>59</v>
      </c>
      <c r="B69" s="90">
        <v>4</v>
      </c>
      <c r="C69" s="90">
        <v>4.5</v>
      </c>
      <c r="D69" s="105" t="s">
        <v>396</v>
      </c>
      <c r="E69" s="46" t="s">
        <v>410</v>
      </c>
      <c r="F69" s="47" t="s">
        <v>411</v>
      </c>
      <c r="G69" s="151">
        <v>43100</v>
      </c>
      <c r="H69" s="51" t="s">
        <v>35</v>
      </c>
      <c r="I69" s="46" t="s">
        <v>412</v>
      </c>
      <c r="J69" s="46" t="s">
        <v>413</v>
      </c>
      <c r="K69" s="45" t="s">
        <v>414</v>
      </c>
      <c r="L69" s="70" t="s">
        <v>96</v>
      </c>
      <c r="M69" s="190">
        <v>1.04</v>
      </c>
      <c r="N69" s="191">
        <v>1</v>
      </c>
      <c r="O69" s="97">
        <v>0.1</v>
      </c>
      <c r="P69" s="92">
        <v>0.2</v>
      </c>
      <c r="Q69" s="92">
        <v>0.3</v>
      </c>
      <c r="R69" s="92">
        <v>0.4</v>
      </c>
      <c r="S69" s="94">
        <v>112</v>
      </c>
      <c r="T69" s="94">
        <v>236</v>
      </c>
      <c r="U69" s="333">
        <f>+S69/T69</f>
        <v>0.47457627118644069</v>
      </c>
      <c r="V69" s="258">
        <v>175</v>
      </c>
      <c r="W69" s="256">
        <v>270</v>
      </c>
      <c r="X69" s="333">
        <f>+V69/W69</f>
        <v>0.64814814814814814</v>
      </c>
      <c r="Y69" s="152">
        <v>271</v>
      </c>
      <c r="Z69" s="152">
        <v>359</v>
      </c>
      <c r="AA69" s="328">
        <f t="shared" si="16"/>
        <v>0.754874651810585</v>
      </c>
      <c r="AB69" s="152">
        <v>379</v>
      </c>
      <c r="AC69" s="256">
        <v>382</v>
      </c>
      <c r="AD69" s="333">
        <f>+AB69/AC69</f>
        <v>0.99214659685863871</v>
      </c>
      <c r="AE69" s="309">
        <f>SUM(AD69)/(O69+P69+Q69+R69)</f>
        <v>0.99214659685863871</v>
      </c>
      <c r="AF69" s="304" t="str">
        <f>IF(AE69&lt;80%,"MÍNIMO",IF(AE69&gt;=80%,IF(AE69&lt;90%,"ACEPTABLE",IF(AE69&gt;=90%,"SATISFACTORIO"))))</f>
        <v>SATISFACTORIO</v>
      </c>
      <c r="AG69" s="284" t="s">
        <v>535</v>
      </c>
      <c r="AH69" s="145">
        <v>4</v>
      </c>
      <c r="AI69" s="52" t="s">
        <v>61</v>
      </c>
      <c r="AJ69" s="45" t="s">
        <v>291</v>
      </c>
      <c r="AK69" s="45" t="s">
        <v>64</v>
      </c>
      <c r="AL69" s="36"/>
      <c r="AM69" s="36"/>
      <c r="AN69" s="36"/>
      <c r="AO69" s="36"/>
      <c r="AP69" s="36"/>
      <c r="AQ69" s="36"/>
      <c r="AR69" s="36"/>
      <c r="AS69" s="36"/>
      <c r="AT69" s="36"/>
      <c r="AU69" s="36"/>
      <c r="AV69" s="36"/>
      <c r="AW69" s="36"/>
      <c r="AX69" s="36"/>
      <c r="AY69" s="36"/>
      <c r="AZ69" s="36"/>
      <c r="BA69" s="36"/>
      <c r="BB69" s="36"/>
    </row>
    <row r="70" spans="1:54" s="37" customFormat="1" ht="108.75" customHeight="1" x14ac:dyDescent="0.2">
      <c r="A70" s="178">
        <v>60</v>
      </c>
      <c r="B70" s="90">
        <v>4</v>
      </c>
      <c r="C70" s="90">
        <v>4.5</v>
      </c>
      <c r="D70" s="105" t="s">
        <v>396</v>
      </c>
      <c r="E70" s="46" t="s">
        <v>410</v>
      </c>
      <c r="F70" s="47" t="s">
        <v>536</v>
      </c>
      <c r="G70" s="151">
        <v>43100</v>
      </c>
      <c r="H70" s="51" t="s">
        <v>35</v>
      </c>
      <c r="I70" s="153" t="s">
        <v>537</v>
      </c>
      <c r="J70" s="46" t="s">
        <v>538</v>
      </c>
      <c r="K70" s="45" t="s">
        <v>415</v>
      </c>
      <c r="L70" s="70" t="s">
        <v>96</v>
      </c>
      <c r="M70" s="192" t="s">
        <v>97</v>
      </c>
      <c r="N70" s="193">
        <v>1</v>
      </c>
      <c r="O70" s="194">
        <v>0.1</v>
      </c>
      <c r="P70" s="194">
        <v>0.1</v>
      </c>
      <c r="Q70" s="194">
        <v>0.3</v>
      </c>
      <c r="R70" s="194">
        <v>0.5</v>
      </c>
      <c r="S70" s="154">
        <v>4362160984</v>
      </c>
      <c r="T70" s="155">
        <v>16309177084</v>
      </c>
      <c r="U70" s="333">
        <f>+S70/T70</f>
        <v>0.26746665153813715</v>
      </c>
      <c r="V70" s="258">
        <f>S70+2196593255</f>
        <v>6558754239</v>
      </c>
      <c r="W70" s="256">
        <v>16658895616</v>
      </c>
      <c r="X70" s="333">
        <f>+V70/W70</f>
        <v>0.39370882621418546</v>
      </c>
      <c r="Y70" s="156">
        <v>9567314766</v>
      </c>
      <c r="Z70" s="156">
        <v>16595634977.6667</v>
      </c>
      <c r="AA70" s="328">
        <f t="shared" si="16"/>
        <v>0.57649585441443219</v>
      </c>
      <c r="AB70" s="156">
        <v>15109883766</v>
      </c>
      <c r="AC70" s="156">
        <v>16175705423</v>
      </c>
      <c r="AD70" s="333">
        <f>AB70/AC70</f>
        <v>0.93410972633783729</v>
      </c>
      <c r="AE70" s="309">
        <f>SUM(AD70)/(O70+P70+Q70+R70)</f>
        <v>0.93410972633783729</v>
      </c>
      <c r="AF70" s="304" t="str">
        <f>IF(AE70&lt;80%,"MÍNIMO",IF(AE70&gt;=80%,IF(AE70&lt;90%,"ACEPTABLE",IF(AE70&gt;=90%,"SATISFACTORIO"))))</f>
        <v>SATISFACTORIO</v>
      </c>
      <c r="AG70" s="278" t="s">
        <v>539</v>
      </c>
      <c r="AH70" s="145">
        <v>5</v>
      </c>
      <c r="AI70" s="52" t="s">
        <v>61</v>
      </c>
      <c r="AJ70" s="45" t="s">
        <v>291</v>
      </c>
      <c r="AK70" s="45" t="s">
        <v>64</v>
      </c>
      <c r="AL70" s="36"/>
      <c r="AM70" s="36"/>
      <c r="AN70" s="36"/>
      <c r="AO70" s="36"/>
      <c r="AP70" s="36"/>
      <c r="AQ70" s="36"/>
      <c r="AR70" s="36"/>
      <c r="AS70" s="36"/>
      <c r="AT70" s="36"/>
      <c r="AU70" s="36"/>
      <c r="AV70" s="36"/>
      <c r="AW70" s="36"/>
      <c r="AX70" s="36"/>
      <c r="AY70" s="36"/>
      <c r="AZ70" s="36"/>
      <c r="BA70" s="36"/>
      <c r="BB70" s="36"/>
    </row>
    <row r="71" spans="1:54" s="37" customFormat="1" ht="114.75" x14ac:dyDescent="0.2">
      <c r="A71" s="178">
        <v>61</v>
      </c>
      <c r="B71" s="118">
        <v>4</v>
      </c>
      <c r="C71" s="118" t="s">
        <v>395</v>
      </c>
      <c r="D71" s="105" t="s">
        <v>396</v>
      </c>
      <c r="E71" s="106" t="s">
        <v>416</v>
      </c>
      <c r="F71" s="72" t="s">
        <v>417</v>
      </c>
      <c r="G71" s="157">
        <v>43100</v>
      </c>
      <c r="H71" s="56" t="s">
        <v>36</v>
      </c>
      <c r="I71" s="158" t="s">
        <v>418</v>
      </c>
      <c r="J71" s="159" t="s">
        <v>419</v>
      </c>
      <c r="K71" s="160" t="s">
        <v>420</v>
      </c>
      <c r="L71" s="70" t="s">
        <v>96</v>
      </c>
      <c r="M71" s="195">
        <v>1</v>
      </c>
      <c r="N71" s="196">
        <v>0.9</v>
      </c>
      <c r="O71" s="49">
        <v>0.9</v>
      </c>
      <c r="P71" s="49">
        <v>0.9</v>
      </c>
      <c r="Q71" s="49">
        <v>0.9</v>
      </c>
      <c r="R71" s="49">
        <v>0.9</v>
      </c>
      <c r="S71" s="40">
        <v>20</v>
      </c>
      <c r="T71" s="40">
        <v>20</v>
      </c>
      <c r="U71" s="329">
        <f>SUM(S71/T71)</f>
        <v>1</v>
      </c>
      <c r="V71" s="161">
        <v>20</v>
      </c>
      <c r="W71" s="161">
        <v>20</v>
      </c>
      <c r="X71" s="331">
        <f>SUM(V71/W71)</f>
        <v>1</v>
      </c>
      <c r="Y71" s="161">
        <v>21</v>
      </c>
      <c r="Z71" s="161">
        <v>21</v>
      </c>
      <c r="AA71" s="336">
        <f t="shared" si="16"/>
        <v>1</v>
      </c>
      <c r="AB71" s="161">
        <v>23</v>
      </c>
      <c r="AC71" s="161">
        <v>23</v>
      </c>
      <c r="AD71" s="329">
        <f>SUM(AB71/AC71)</f>
        <v>1</v>
      </c>
      <c r="AE71" s="312">
        <f>SUM(AD71/N71)</f>
        <v>1.1111111111111112</v>
      </c>
      <c r="AF71" s="304" t="str">
        <f>IF(AE71&lt;70%,"MÍNIMO",IF(AE71&gt;=70%,IF(AE71&lt;90%,"ACEPTABLE",IF(AE71&gt;=90%,"SATISFACTORIO"))))</f>
        <v>SATISFACTORIO</v>
      </c>
      <c r="AG71" s="285" t="s">
        <v>540</v>
      </c>
      <c r="AH71" s="145">
        <v>6</v>
      </c>
      <c r="AI71" s="197" t="s">
        <v>421</v>
      </c>
      <c r="AJ71" s="198" t="s">
        <v>422</v>
      </c>
      <c r="AK71" s="199" t="s">
        <v>64</v>
      </c>
      <c r="AL71" s="36"/>
      <c r="AM71" s="36"/>
      <c r="AN71" s="36"/>
      <c r="AO71" s="36"/>
      <c r="AP71" s="36"/>
      <c r="AQ71" s="36"/>
      <c r="AR71" s="36"/>
      <c r="AS71" s="36"/>
      <c r="AT71" s="36"/>
      <c r="AU71" s="36"/>
      <c r="AV71" s="36"/>
      <c r="AW71" s="36"/>
      <c r="AX71" s="36"/>
      <c r="AY71" s="36"/>
      <c r="AZ71" s="36"/>
      <c r="BA71" s="36"/>
      <c r="BB71" s="36"/>
    </row>
    <row r="72" spans="1:54" s="37" customFormat="1" ht="102" x14ac:dyDescent="0.2">
      <c r="A72" s="178">
        <v>62</v>
      </c>
      <c r="B72" s="162">
        <v>4</v>
      </c>
      <c r="C72" s="162" t="s">
        <v>395</v>
      </c>
      <c r="D72" s="105" t="s">
        <v>396</v>
      </c>
      <c r="E72" s="64" t="s">
        <v>74</v>
      </c>
      <c r="F72" s="72" t="s">
        <v>423</v>
      </c>
      <c r="G72" s="157">
        <v>43100</v>
      </c>
      <c r="H72" s="56" t="s">
        <v>36</v>
      </c>
      <c r="I72" s="163" t="s">
        <v>541</v>
      </c>
      <c r="J72" s="164" t="s">
        <v>542</v>
      </c>
      <c r="K72" s="160" t="s">
        <v>424</v>
      </c>
      <c r="L72" s="70" t="s">
        <v>96</v>
      </c>
      <c r="M72" s="195">
        <v>1</v>
      </c>
      <c r="N72" s="196">
        <v>0.9</v>
      </c>
      <c r="O72" s="49">
        <v>0.9</v>
      </c>
      <c r="P72" s="49">
        <v>0.9</v>
      </c>
      <c r="Q72" s="49">
        <v>0.9</v>
      </c>
      <c r="R72" s="49">
        <v>0.9</v>
      </c>
      <c r="S72" s="40">
        <v>36</v>
      </c>
      <c r="T72" s="40">
        <v>41</v>
      </c>
      <c r="U72" s="329">
        <f>SUM(S72/T72)</f>
        <v>0.87804878048780488</v>
      </c>
      <c r="V72" s="161">
        <v>60</v>
      </c>
      <c r="W72" s="161">
        <v>73</v>
      </c>
      <c r="X72" s="331">
        <f>SUM(V72/W72)</f>
        <v>0.82191780821917804</v>
      </c>
      <c r="Y72" s="161">
        <v>41</v>
      </c>
      <c r="Z72" s="161">
        <v>47</v>
      </c>
      <c r="AA72" s="336">
        <f t="shared" si="16"/>
        <v>0.87234042553191493</v>
      </c>
      <c r="AB72" s="161">
        <v>34</v>
      </c>
      <c r="AC72" s="161">
        <v>40</v>
      </c>
      <c r="AD72" s="329">
        <f>SUM(AB72/AC72)</f>
        <v>0.85</v>
      </c>
      <c r="AE72" s="312">
        <f>SUM(AD72/N72)</f>
        <v>0.94444444444444442</v>
      </c>
      <c r="AF72" s="304" t="str">
        <f>IF(AE72&lt;80%,"MÍNIMO",IF(AE72&gt;=80%,IF(AE72&lt;90%,"ACEPTABLE",IF(AE72&gt;=90%,"SATISFACTORIO"))))</f>
        <v>SATISFACTORIO</v>
      </c>
      <c r="AG72" s="285" t="s">
        <v>543</v>
      </c>
      <c r="AH72" s="145">
        <v>7</v>
      </c>
      <c r="AI72" s="197" t="s">
        <v>61</v>
      </c>
      <c r="AJ72" s="198" t="s">
        <v>291</v>
      </c>
      <c r="AK72" s="199" t="s">
        <v>64</v>
      </c>
      <c r="AL72" s="36"/>
      <c r="AM72" s="36"/>
      <c r="AN72" s="36"/>
      <c r="AO72" s="36"/>
      <c r="AP72" s="36"/>
      <c r="AQ72" s="36"/>
      <c r="AR72" s="36"/>
      <c r="AS72" s="36"/>
      <c r="AT72" s="36"/>
      <c r="AU72" s="36"/>
      <c r="AV72" s="36"/>
      <c r="AW72" s="36"/>
      <c r="AX72" s="36"/>
      <c r="AY72" s="36"/>
      <c r="AZ72" s="36"/>
      <c r="BA72" s="36"/>
      <c r="BB72" s="36"/>
    </row>
    <row r="73" spans="1:54" s="37" customFormat="1" ht="108" x14ac:dyDescent="0.2">
      <c r="A73" s="178">
        <v>63</v>
      </c>
      <c r="B73" s="162">
        <v>4</v>
      </c>
      <c r="C73" s="162" t="s">
        <v>395</v>
      </c>
      <c r="D73" s="105" t="s">
        <v>396</v>
      </c>
      <c r="E73" s="64" t="s">
        <v>425</v>
      </c>
      <c r="F73" s="47" t="s">
        <v>426</v>
      </c>
      <c r="G73" s="157">
        <v>43100</v>
      </c>
      <c r="H73" s="51" t="s">
        <v>37</v>
      </c>
      <c r="I73" s="153" t="s">
        <v>544</v>
      </c>
      <c r="J73" s="165" t="s">
        <v>427</v>
      </c>
      <c r="K73" s="160" t="s">
        <v>428</v>
      </c>
      <c r="L73" s="200" t="s">
        <v>325</v>
      </c>
      <c r="M73" s="201">
        <v>7</v>
      </c>
      <c r="N73" s="202">
        <v>5</v>
      </c>
      <c r="O73" s="166">
        <v>5</v>
      </c>
      <c r="P73" s="166">
        <v>5</v>
      </c>
      <c r="Q73" s="166">
        <v>5</v>
      </c>
      <c r="R73" s="166">
        <v>5</v>
      </c>
      <c r="S73" s="167">
        <v>2.5</v>
      </c>
      <c r="T73" s="51" t="s">
        <v>429</v>
      </c>
      <c r="U73" s="330">
        <f>IFERROR(SUM(S73),0)</f>
        <v>2.5</v>
      </c>
      <c r="V73" s="168">
        <v>3.6</v>
      </c>
      <c r="W73" s="51" t="s">
        <v>429</v>
      </c>
      <c r="X73" s="334">
        <f>SUM(V73)</f>
        <v>3.6</v>
      </c>
      <c r="Y73" s="168">
        <v>4.0999999999999996</v>
      </c>
      <c r="Z73" s="51" t="s">
        <v>429</v>
      </c>
      <c r="AA73" s="334">
        <f>SUM(Y73)</f>
        <v>4.0999999999999996</v>
      </c>
      <c r="AB73" s="168">
        <v>2.7</v>
      </c>
      <c r="AC73" s="51" t="s">
        <v>429</v>
      </c>
      <c r="AD73" s="334">
        <f>AB73</f>
        <v>2.7</v>
      </c>
      <c r="AE73" s="315">
        <f>SUM(U73+X73+AA73+AD73)/4</f>
        <v>3.2249999999999996</v>
      </c>
      <c r="AF73" s="304" t="str">
        <f>IF(AE73&gt;7,"MÍNIMO",IF(AE73&lt;=7,IF(AE73&gt;6,"ACEPTABLE",IF(AE73&lt;=6,"SATISFACTORIO"))))</f>
        <v>SATISFACTORIO</v>
      </c>
      <c r="AG73" s="285" t="s">
        <v>466</v>
      </c>
      <c r="AH73" s="145">
        <v>8</v>
      </c>
      <c r="AI73" s="203" t="s">
        <v>545</v>
      </c>
      <c r="AJ73" s="204" t="s">
        <v>546</v>
      </c>
      <c r="AK73" s="205" t="s">
        <v>547</v>
      </c>
      <c r="AL73" s="36"/>
      <c r="AM73" s="36"/>
      <c r="AN73" s="36"/>
      <c r="AO73" s="36"/>
      <c r="AP73" s="36"/>
      <c r="AQ73" s="36"/>
      <c r="AR73" s="36"/>
      <c r="AS73" s="36"/>
      <c r="AT73" s="36"/>
      <c r="AU73" s="36"/>
      <c r="AV73" s="36"/>
      <c r="AW73" s="36"/>
      <c r="AX73" s="36"/>
      <c r="AY73" s="36"/>
      <c r="AZ73" s="36"/>
      <c r="BA73" s="36"/>
      <c r="BB73" s="36"/>
    </row>
    <row r="74" spans="1:54" s="37" customFormat="1" ht="140.25" x14ac:dyDescent="0.2">
      <c r="A74" s="178">
        <v>64</v>
      </c>
      <c r="B74" s="45">
        <v>4</v>
      </c>
      <c r="C74" s="162" t="s">
        <v>395</v>
      </c>
      <c r="D74" s="105" t="s">
        <v>396</v>
      </c>
      <c r="E74" s="64" t="s">
        <v>74</v>
      </c>
      <c r="F74" s="55" t="s">
        <v>548</v>
      </c>
      <c r="G74" s="157">
        <v>42735</v>
      </c>
      <c r="H74" s="45" t="s">
        <v>35</v>
      </c>
      <c r="I74" s="163" t="s">
        <v>430</v>
      </c>
      <c r="J74" s="164" t="s">
        <v>431</v>
      </c>
      <c r="K74" s="169" t="s">
        <v>549</v>
      </c>
      <c r="L74" s="70" t="s">
        <v>96</v>
      </c>
      <c r="M74" s="195">
        <v>0.95</v>
      </c>
      <c r="N74" s="206">
        <v>1</v>
      </c>
      <c r="O74" s="49">
        <v>0.1</v>
      </c>
      <c r="P74" s="49">
        <v>0.3</v>
      </c>
      <c r="Q74" s="49">
        <v>0.3</v>
      </c>
      <c r="R74" s="49">
        <v>0.3</v>
      </c>
      <c r="S74" s="170">
        <v>0</v>
      </c>
      <c r="T74" s="155">
        <v>100000000</v>
      </c>
      <c r="U74" s="331">
        <f>SUM(S74/T74)</f>
        <v>0</v>
      </c>
      <c r="V74" s="155">
        <v>11684436</v>
      </c>
      <c r="W74" s="155">
        <v>100000000</v>
      </c>
      <c r="X74" s="331">
        <f>SUM(V74/W74)</f>
        <v>0.11684435999999999</v>
      </c>
      <c r="Y74" s="256">
        <v>9208036</v>
      </c>
      <c r="Z74" s="256">
        <v>100000000</v>
      </c>
      <c r="AA74" s="336">
        <f>SUM(Y74/Z74)</f>
        <v>9.208036E-2</v>
      </c>
      <c r="AB74" s="256">
        <f>66622635+11684436</f>
        <v>78307071</v>
      </c>
      <c r="AC74" s="256">
        <v>100000000</v>
      </c>
      <c r="AD74" s="329">
        <f>SUM(AB74/AC74)</f>
        <v>0.78307070999999995</v>
      </c>
      <c r="AE74" s="312">
        <f>SUM(AD74/(R74+Q74+P74+O74))</f>
        <v>0.78307071000000006</v>
      </c>
      <c r="AF74" s="48" t="str">
        <f>IF(AE74&lt;70%,"MÍNIMO",IF(AE74&gt;70%,IF(AE74&lt;90%,"ACEPTABLE",IF(AE74&gt;=90%,"SATISFACTORIO"))))</f>
        <v>ACEPTABLE</v>
      </c>
      <c r="AG74" s="286" t="s">
        <v>467</v>
      </c>
      <c r="AH74" s="145">
        <v>9</v>
      </c>
      <c r="AI74" s="197" t="s">
        <v>432</v>
      </c>
      <c r="AJ74" s="198" t="s">
        <v>433</v>
      </c>
      <c r="AK74" s="199" t="s">
        <v>64</v>
      </c>
      <c r="AL74" s="36"/>
      <c r="AM74" s="36"/>
      <c r="AN74" s="36"/>
      <c r="AO74" s="36"/>
      <c r="AP74" s="36"/>
      <c r="AQ74" s="36"/>
      <c r="AR74" s="36"/>
      <c r="AS74" s="36"/>
      <c r="AT74" s="36"/>
      <c r="AU74" s="36"/>
      <c r="AV74" s="36"/>
      <c r="AW74" s="36"/>
      <c r="AX74" s="36"/>
      <c r="AY74" s="36"/>
      <c r="AZ74" s="36"/>
      <c r="BA74" s="36"/>
      <c r="BB74" s="36"/>
    </row>
    <row r="75" spans="1:54" s="37" customFormat="1" ht="180" x14ac:dyDescent="0.2">
      <c r="A75" s="178">
        <v>65</v>
      </c>
      <c r="B75" s="45">
        <v>4</v>
      </c>
      <c r="C75" s="162" t="s">
        <v>395</v>
      </c>
      <c r="D75" s="105" t="s">
        <v>396</v>
      </c>
      <c r="E75" s="64" t="s">
        <v>74</v>
      </c>
      <c r="F75" s="171" t="s">
        <v>452</v>
      </c>
      <c r="G75" s="157">
        <v>43100</v>
      </c>
      <c r="H75" s="45" t="s">
        <v>35</v>
      </c>
      <c r="I75" s="163" t="s">
        <v>434</v>
      </c>
      <c r="J75" s="164" t="s">
        <v>550</v>
      </c>
      <c r="K75" s="169" t="s">
        <v>435</v>
      </c>
      <c r="L75" s="70" t="s">
        <v>96</v>
      </c>
      <c r="M75" s="195">
        <v>1</v>
      </c>
      <c r="N75" s="207">
        <v>1</v>
      </c>
      <c r="O75" s="194" t="s">
        <v>149</v>
      </c>
      <c r="P75" s="194" t="s">
        <v>149</v>
      </c>
      <c r="Q75" s="171" t="s">
        <v>149</v>
      </c>
      <c r="R75" s="194">
        <v>1</v>
      </c>
      <c r="S75" s="51">
        <v>0</v>
      </c>
      <c r="T75" s="51">
        <v>0</v>
      </c>
      <c r="U75" s="332">
        <f>IFERROR(SUM(S75/T75),0)</f>
        <v>0</v>
      </c>
      <c r="V75" s="51">
        <v>0</v>
      </c>
      <c r="W75" s="51">
        <v>0</v>
      </c>
      <c r="X75" s="332">
        <f>IFERROR(SUM(V75/W75),0)</f>
        <v>0</v>
      </c>
      <c r="Y75" s="51">
        <v>0</v>
      </c>
      <c r="Z75" s="51">
        <v>0</v>
      </c>
      <c r="AA75" s="332">
        <f>IFERROR(SUM(Y75/Z75),0)</f>
        <v>0</v>
      </c>
      <c r="AB75" s="114">
        <v>8</v>
      </c>
      <c r="AC75" s="45">
        <v>8</v>
      </c>
      <c r="AD75" s="329">
        <f>SUM(AB75/AC75)</f>
        <v>1</v>
      </c>
      <c r="AE75" s="309">
        <f>SUM(AD75)/(R75)</f>
        <v>1</v>
      </c>
      <c r="AF75" s="304" t="str">
        <f>IF(AE75&lt;=80%,"MÍNIMO",IF(AE75&gt;80%,IF(AE75&lt;90%,"ACEPTABLE",IF(AE75&gt;=90%,"SATISFACTORIO"))))</f>
        <v>SATISFACTORIO</v>
      </c>
      <c r="AG75" s="286" t="s">
        <v>551</v>
      </c>
      <c r="AH75" s="145">
        <v>10</v>
      </c>
      <c r="AI75" s="197" t="s">
        <v>138</v>
      </c>
      <c r="AJ75" s="198" t="s">
        <v>436</v>
      </c>
      <c r="AK75" s="199" t="s">
        <v>64</v>
      </c>
      <c r="AL75" s="36"/>
      <c r="AM75" s="36"/>
      <c r="AN75" s="36"/>
      <c r="AO75" s="36"/>
      <c r="AP75" s="36"/>
      <c r="AQ75" s="36"/>
      <c r="AR75" s="36"/>
      <c r="AS75" s="36"/>
      <c r="AT75" s="36"/>
      <c r="AU75" s="36"/>
      <c r="AV75" s="36"/>
      <c r="AW75" s="36"/>
      <c r="AX75" s="36"/>
      <c r="AY75" s="36"/>
      <c r="AZ75" s="36"/>
      <c r="BA75" s="36"/>
      <c r="BB75" s="36"/>
    </row>
    <row r="76" spans="1:54" s="37" customFormat="1" ht="204" x14ac:dyDescent="0.2">
      <c r="A76" s="178">
        <v>66</v>
      </c>
      <c r="B76" s="172">
        <v>4</v>
      </c>
      <c r="C76" s="173" t="s">
        <v>395</v>
      </c>
      <c r="D76" s="105" t="s">
        <v>396</v>
      </c>
      <c r="E76" s="174" t="s">
        <v>74</v>
      </c>
      <c r="F76" s="171" t="s">
        <v>437</v>
      </c>
      <c r="G76" s="175">
        <v>43100</v>
      </c>
      <c r="H76" s="51" t="s">
        <v>35</v>
      </c>
      <c r="I76" s="176" t="s">
        <v>438</v>
      </c>
      <c r="J76" s="177" t="s">
        <v>439</v>
      </c>
      <c r="K76" s="169" t="s">
        <v>440</v>
      </c>
      <c r="L76" s="70" t="s">
        <v>96</v>
      </c>
      <c r="M76" s="343" t="s">
        <v>222</v>
      </c>
      <c r="N76" s="207">
        <v>1</v>
      </c>
      <c r="O76" s="194" t="s">
        <v>97</v>
      </c>
      <c r="P76" s="194" t="s">
        <v>149</v>
      </c>
      <c r="Q76" s="118" t="s">
        <v>149</v>
      </c>
      <c r="R76" s="194">
        <v>1</v>
      </c>
      <c r="S76" s="170">
        <v>0</v>
      </c>
      <c r="T76" s="155">
        <v>2330000000</v>
      </c>
      <c r="U76" s="332">
        <f>IFERROR(SUM(S76/T76),0)</f>
        <v>0</v>
      </c>
      <c r="V76" s="155">
        <v>144000000</v>
      </c>
      <c r="W76" s="155">
        <v>2330000000</v>
      </c>
      <c r="X76" s="332">
        <f>IFERROR(SUM(V76/W76),0)</f>
        <v>6.1802575107296136E-2</v>
      </c>
      <c r="Y76" s="256">
        <v>43100000</v>
      </c>
      <c r="Z76" s="256">
        <v>839000000</v>
      </c>
      <c r="AA76" s="332">
        <f>IFERROR(SUM(Y76/Z76),0)</f>
        <v>5.1370679380214543E-2</v>
      </c>
      <c r="AB76" s="256">
        <f>9445720+43100000</f>
        <v>52545720</v>
      </c>
      <c r="AC76" s="256">
        <v>825024320</v>
      </c>
      <c r="AD76" s="329">
        <f>SUM(AB76/AC76)</f>
        <v>6.3689904317002444E-2</v>
      </c>
      <c r="AE76" s="309">
        <f>SUM(AD76)/(R76)</f>
        <v>6.3689904317002444E-2</v>
      </c>
      <c r="AF76" s="48" t="str">
        <f>IF(AE76&lt;=80%,"MÍNIMO",IF(AE76&gt;80%,IF(AE76&lt;90%,"ACEPTABLE",IF(AE76&gt;=90%,"SATISFACTORIO"))))</f>
        <v>MÍNIMO</v>
      </c>
      <c r="AG76" s="287" t="s">
        <v>468</v>
      </c>
      <c r="AH76" s="145">
        <v>11</v>
      </c>
      <c r="AI76" s="197" t="s">
        <v>138</v>
      </c>
      <c r="AJ76" s="198" t="s">
        <v>436</v>
      </c>
      <c r="AK76" s="199" t="s">
        <v>64</v>
      </c>
      <c r="AL76" s="36"/>
      <c r="AM76" s="36"/>
      <c r="AN76" s="36"/>
      <c r="AO76" s="36"/>
      <c r="AP76" s="36"/>
      <c r="AQ76" s="36"/>
      <c r="AR76" s="36"/>
      <c r="AS76" s="36"/>
      <c r="AT76" s="36"/>
      <c r="AU76" s="36"/>
      <c r="AV76" s="36"/>
      <c r="AW76" s="36"/>
      <c r="AX76" s="36"/>
      <c r="AY76" s="36"/>
      <c r="AZ76" s="36"/>
      <c r="BA76" s="36"/>
      <c r="BB76" s="36"/>
    </row>
    <row r="77" spans="1:54" s="37" customFormat="1" ht="163.5" customHeight="1" x14ac:dyDescent="0.2">
      <c r="A77" s="51">
        <v>67</v>
      </c>
      <c r="B77" s="51">
        <v>3</v>
      </c>
      <c r="C77" s="51" t="s">
        <v>73</v>
      </c>
      <c r="D77" s="51" t="s">
        <v>552</v>
      </c>
      <c r="E77" s="51" t="s">
        <v>74</v>
      </c>
      <c r="F77" s="64" t="s">
        <v>75</v>
      </c>
      <c r="G77" s="65">
        <v>43100</v>
      </c>
      <c r="H77" s="57" t="s">
        <v>35</v>
      </c>
      <c r="I77" s="55" t="s">
        <v>76</v>
      </c>
      <c r="J77" s="64" t="s">
        <v>77</v>
      </c>
      <c r="K77" s="55" t="s">
        <v>78</v>
      </c>
      <c r="L77" s="70" t="s">
        <v>96</v>
      </c>
      <c r="M77" s="143">
        <v>0.95</v>
      </c>
      <c r="N77" s="113">
        <v>1</v>
      </c>
      <c r="O77" s="49"/>
      <c r="P77" s="49">
        <v>0.34</v>
      </c>
      <c r="Q77" s="49">
        <v>0.33</v>
      </c>
      <c r="R77" s="49">
        <v>0.33</v>
      </c>
      <c r="S77" s="40"/>
      <c r="T77" s="40"/>
      <c r="U77" s="320" t="s">
        <v>79</v>
      </c>
      <c r="V77" s="40">
        <v>18</v>
      </c>
      <c r="W77" s="40">
        <v>81</v>
      </c>
      <c r="X77" s="335">
        <f>+V77/W77</f>
        <v>0.22222222222222221</v>
      </c>
      <c r="Y77" s="40">
        <v>46</v>
      </c>
      <c r="Z77" s="40">
        <v>81</v>
      </c>
      <c r="AA77" s="335">
        <f>+Y77/Z77</f>
        <v>0.5679012345679012</v>
      </c>
      <c r="AB77" s="40">
        <v>79</v>
      </c>
      <c r="AC77" s="40">
        <v>81</v>
      </c>
      <c r="AD77" s="329">
        <f>SUM(AB77/AC77)</f>
        <v>0.97530864197530864</v>
      </c>
      <c r="AE77" s="312">
        <f>+AD77/(P77+Q77+R77)</f>
        <v>0.97530864197530864</v>
      </c>
      <c r="AF77" s="304" t="str">
        <f>IF(AE77&lt;80%,"MÍNIMO",IF(AE77&gt;=80%,IF(AE77&lt;90%,"ACEPTABLE",IF(AE77&gt;=90%,"SATISFACTORIO"))))</f>
        <v>SATISFACTORIO</v>
      </c>
      <c r="AG77" s="288" t="s">
        <v>80</v>
      </c>
      <c r="AH77" s="83"/>
      <c r="AI77" s="52" t="s">
        <v>61</v>
      </c>
      <c r="AJ77" s="45" t="s">
        <v>291</v>
      </c>
      <c r="AK77" s="184" t="s">
        <v>380</v>
      </c>
      <c r="AL77" s="36"/>
      <c r="AM77" s="36"/>
      <c r="AN77" s="36"/>
      <c r="AO77" s="36"/>
      <c r="AP77" s="36"/>
      <c r="AQ77" s="36"/>
      <c r="AR77" s="36"/>
      <c r="AS77" s="36"/>
      <c r="AT77" s="36"/>
      <c r="AU77" s="36"/>
      <c r="AV77" s="36"/>
      <c r="AW77" s="36"/>
      <c r="AX77" s="36"/>
      <c r="AY77" s="36"/>
      <c r="AZ77" s="36"/>
      <c r="BA77" s="36"/>
      <c r="BB77" s="36"/>
    </row>
    <row r="78" spans="1:54" s="37" customFormat="1" ht="127.5" customHeight="1" x14ac:dyDescent="0.2">
      <c r="A78" s="51">
        <v>68</v>
      </c>
      <c r="B78" s="51">
        <v>3</v>
      </c>
      <c r="C78" s="51" t="s">
        <v>73</v>
      </c>
      <c r="D78" s="51" t="s">
        <v>552</v>
      </c>
      <c r="E78" s="51" t="s">
        <v>74</v>
      </c>
      <c r="F78" s="55" t="s">
        <v>81</v>
      </c>
      <c r="G78" s="65">
        <v>43100</v>
      </c>
      <c r="H78" s="56" t="s">
        <v>36</v>
      </c>
      <c r="I78" s="55" t="s">
        <v>82</v>
      </c>
      <c r="J78" s="64" t="s">
        <v>553</v>
      </c>
      <c r="K78" s="55" t="s">
        <v>83</v>
      </c>
      <c r="L78" s="70" t="s">
        <v>96</v>
      </c>
      <c r="M78" s="143">
        <v>0.97</v>
      </c>
      <c r="N78" s="113">
        <v>0.9</v>
      </c>
      <c r="O78" s="49">
        <v>0.9</v>
      </c>
      <c r="P78" s="49">
        <v>0.9</v>
      </c>
      <c r="Q78" s="49">
        <v>0.9</v>
      </c>
      <c r="R78" s="49">
        <v>0.9</v>
      </c>
      <c r="S78" s="40">
        <v>30</v>
      </c>
      <c r="T78" s="40">
        <v>30</v>
      </c>
      <c r="U78" s="320">
        <f t="shared" ref="U78:U79" si="18">+S78/T78</f>
        <v>1</v>
      </c>
      <c r="V78" s="40">
        <v>43</v>
      </c>
      <c r="W78" s="40">
        <v>43</v>
      </c>
      <c r="X78" s="320">
        <f>+V78/W78</f>
        <v>1</v>
      </c>
      <c r="Y78" s="40">
        <v>74</v>
      </c>
      <c r="Z78" s="40">
        <v>74</v>
      </c>
      <c r="AA78" s="320">
        <f>+Y78/Z78</f>
        <v>1</v>
      </c>
      <c r="AB78" s="40">
        <v>120</v>
      </c>
      <c r="AC78" s="40">
        <v>120</v>
      </c>
      <c r="AD78" s="329">
        <f>SUM(AB78/AC78)</f>
        <v>1</v>
      </c>
      <c r="AE78" s="312">
        <f>+AD78/(R78)</f>
        <v>1.1111111111111112</v>
      </c>
      <c r="AF78" s="304" t="str">
        <f>IF(AE78&lt;80%,"MÍNIMO",IF(AE78&gt;=80%,IF(AE78&lt;90%,"ACEPTABLE",IF(AE78&gt;=90%,"SATISFACTORIO"))))</f>
        <v>SATISFACTORIO</v>
      </c>
      <c r="AG78" s="288" t="s">
        <v>84</v>
      </c>
      <c r="AH78" s="83"/>
      <c r="AI78" s="52" t="s">
        <v>61</v>
      </c>
      <c r="AJ78" s="45" t="s">
        <v>291</v>
      </c>
      <c r="AK78" s="184" t="s">
        <v>380</v>
      </c>
      <c r="AL78" s="36"/>
      <c r="AM78" s="36"/>
      <c r="AN78" s="36"/>
      <c r="AO78" s="36"/>
      <c r="AP78" s="36"/>
      <c r="AQ78" s="36"/>
      <c r="AR78" s="36"/>
      <c r="AS78" s="36"/>
      <c r="AT78" s="36"/>
      <c r="AU78" s="36"/>
      <c r="AV78" s="36"/>
      <c r="AW78" s="36"/>
      <c r="AX78" s="36"/>
      <c r="AY78" s="36"/>
      <c r="AZ78" s="36"/>
      <c r="BA78" s="36"/>
      <c r="BB78" s="36"/>
    </row>
    <row r="79" spans="1:54" s="37" customFormat="1" ht="132.75" customHeight="1" x14ac:dyDescent="0.2">
      <c r="A79" s="51">
        <v>69</v>
      </c>
      <c r="B79" s="51">
        <v>3</v>
      </c>
      <c r="C79" s="51" t="s">
        <v>73</v>
      </c>
      <c r="D79" s="51" t="s">
        <v>552</v>
      </c>
      <c r="E79" s="51" t="s">
        <v>74</v>
      </c>
      <c r="F79" s="55" t="s">
        <v>554</v>
      </c>
      <c r="G79" s="65">
        <v>43100</v>
      </c>
      <c r="H79" s="57" t="s">
        <v>35</v>
      </c>
      <c r="I79" s="55" t="s">
        <v>85</v>
      </c>
      <c r="J79" s="64" t="s">
        <v>555</v>
      </c>
      <c r="K79" s="55" t="s">
        <v>86</v>
      </c>
      <c r="L79" s="70" t="s">
        <v>96</v>
      </c>
      <c r="M79" s="143"/>
      <c r="N79" s="113">
        <v>1</v>
      </c>
      <c r="O79" s="49">
        <v>0.25</v>
      </c>
      <c r="P79" s="49">
        <v>0.25</v>
      </c>
      <c r="Q79" s="49">
        <v>0.25</v>
      </c>
      <c r="R79" s="49">
        <v>0.25</v>
      </c>
      <c r="S79" s="40">
        <v>11</v>
      </c>
      <c r="T79" s="40">
        <v>52</v>
      </c>
      <c r="U79" s="320">
        <f t="shared" si="18"/>
        <v>0.21153846153846154</v>
      </c>
      <c r="V79" s="40">
        <v>27</v>
      </c>
      <c r="W79" s="40">
        <v>52</v>
      </c>
      <c r="X79" s="320">
        <f>+V79/W79</f>
        <v>0.51923076923076927</v>
      </c>
      <c r="Y79" s="40">
        <v>40</v>
      </c>
      <c r="Z79" s="40">
        <v>52</v>
      </c>
      <c r="AA79" s="320">
        <f>+Y79/Z79</f>
        <v>0.76923076923076927</v>
      </c>
      <c r="AB79" s="40">
        <v>52</v>
      </c>
      <c r="AC79" s="40">
        <v>52</v>
      </c>
      <c r="AD79" s="329">
        <f t="shared" ref="AD79:AD80" si="19">SUM(AB79/AC79)</f>
        <v>1</v>
      </c>
      <c r="AE79" s="312">
        <f>+(AD79)/(O79+P79+Q79+R79)</f>
        <v>1</v>
      </c>
      <c r="AF79" s="304" t="str">
        <f>IF(AE79&lt;80%,"MÍNIMO",IF(AE79&gt;=80%,IF(AE79&lt;90%,"ACEPTABLE",IF(AE79&gt;=90%,"SATISFACTORIO"))))</f>
        <v>SATISFACTORIO</v>
      </c>
      <c r="AG79" s="288" t="s">
        <v>87</v>
      </c>
      <c r="AH79" s="83"/>
      <c r="AI79" s="52" t="s">
        <v>61</v>
      </c>
      <c r="AJ79" s="45" t="s">
        <v>291</v>
      </c>
      <c r="AK79" s="184" t="s">
        <v>380</v>
      </c>
      <c r="AL79" s="36"/>
      <c r="AM79" s="36"/>
      <c r="AN79" s="36"/>
      <c r="AO79" s="36"/>
      <c r="AP79" s="36"/>
      <c r="AQ79" s="36"/>
      <c r="AR79" s="36"/>
      <c r="AS79" s="36"/>
      <c r="AT79" s="36"/>
      <c r="AU79" s="36"/>
      <c r="AV79" s="36"/>
      <c r="AW79" s="36"/>
      <c r="AX79" s="36"/>
      <c r="AY79" s="36"/>
      <c r="AZ79" s="36"/>
      <c r="BA79" s="36"/>
      <c r="BB79" s="36"/>
    </row>
    <row r="80" spans="1:54" s="37" customFormat="1" ht="182.25" customHeight="1" x14ac:dyDescent="0.2">
      <c r="A80" s="51">
        <v>70</v>
      </c>
      <c r="B80" s="51">
        <v>3</v>
      </c>
      <c r="C80" s="51" t="s">
        <v>73</v>
      </c>
      <c r="D80" s="51" t="s">
        <v>552</v>
      </c>
      <c r="E80" s="51" t="s">
        <v>74</v>
      </c>
      <c r="F80" s="64" t="s">
        <v>556</v>
      </c>
      <c r="G80" s="65">
        <v>43100</v>
      </c>
      <c r="H80" s="57" t="s">
        <v>35</v>
      </c>
      <c r="I80" s="55" t="s">
        <v>557</v>
      </c>
      <c r="J80" s="64" t="s">
        <v>558</v>
      </c>
      <c r="K80" s="64" t="s">
        <v>559</v>
      </c>
      <c r="L80" s="70" t="s">
        <v>96</v>
      </c>
      <c r="M80" s="143">
        <v>0.9869</v>
      </c>
      <c r="N80" s="113">
        <v>1</v>
      </c>
      <c r="O80" s="40" t="s">
        <v>79</v>
      </c>
      <c r="P80" s="40" t="s">
        <v>79</v>
      </c>
      <c r="Q80" s="40" t="s">
        <v>79</v>
      </c>
      <c r="R80" s="49">
        <v>1</v>
      </c>
      <c r="S80" s="40" t="s">
        <v>79</v>
      </c>
      <c r="T80" s="40" t="s">
        <v>79</v>
      </c>
      <c r="U80" s="320" t="s">
        <v>79</v>
      </c>
      <c r="V80" s="40" t="s">
        <v>79</v>
      </c>
      <c r="W80" s="40" t="s">
        <v>79</v>
      </c>
      <c r="X80" s="319"/>
      <c r="Y80" s="40" t="s">
        <v>79</v>
      </c>
      <c r="Z80" s="40" t="s">
        <v>79</v>
      </c>
      <c r="AA80" s="319"/>
      <c r="AB80" s="50">
        <v>230903331</v>
      </c>
      <c r="AC80" s="50">
        <v>231000000</v>
      </c>
      <c r="AD80" s="329">
        <f t="shared" si="19"/>
        <v>0.99958151948051943</v>
      </c>
      <c r="AE80" s="316">
        <f>SUM(AD80/R80)</f>
        <v>0.99958151948051943</v>
      </c>
      <c r="AF80" s="304" t="str">
        <f>IF(AE80&lt;80%,"MÍNIMO",IF(AE80&gt;=80%,IF(AE80&lt;90%,"ACEPTABLE",IF(AE80&gt;=90%,"SATISFACTORIO"))))</f>
        <v>SATISFACTORIO</v>
      </c>
      <c r="AG80" s="288" t="s">
        <v>88</v>
      </c>
      <c r="AH80" s="83"/>
      <c r="AI80" s="52" t="s">
        <v>61</v>
      </c>
      <c r="AJ80" s="45" t="s">
        <v>291</v>
      </c>
      <c r="AK80" s="184" t="s">
        <v>380</v>
      </c>
      <c r="AL80" s="36"/>
      <c r="AM80" s="36"/>
      <c r="AN80" s="36"/>
      <c r="AO80" s="36"/>
      <c r="AP80" s="36"/>
      <c r="AQ80" s="36"/>
      <c r="AR80" s="36"/>
      <c r="AS80" s="36"/>
      <c r="AT80" s="36"/>
      <c r="AU80" s="36"/>
      <c r="AV80" s="36"/>
      <c r="AW80" s="36"/>
      <c r="AX80" s="36"/>
      <c r="AY80" s="36"/>
      <c r="AZ80" s="36"/>
      <c r="BA80" s="36"/>
      <c r="BB80" s="36"/>
    </row>
    <row r="81" spans="1:54" s="37" customFormat="1" ht="276" x14ac:dyDescent="0.2">
      <c r="A81" s="51">
        <v>71</v>
      </c>
      <c r="B81" s="238">
        <v>3</v>
      </c>
      <c r="C81" s="238" t="s">
        <v>62</v>
      </c>
      <c r="D81" s="44" t="s">
        <v>374</v>
      </c>
      <c r="E81" s="254" t="s">
        <v>375</v>
      </c>
      <c r="F81" s="41" t="s">
        <v>376</v>
      </c>
      <c r="G81" s="255">
        <v>43100</v>
      </c>
      <c r="H81" s="238" t="s">
        <v>35</v>
      </c>
      <c r="I81" s="41" t="s">
        <v>377</v>
      </c>
      <c r="J81" s="41" t="s">
        <v>378</v>
      </c>
      <c r="K81" s="41" t="s">
        <v>379</v>
      </c>
      <c r="L81" s="70" t="s">
        <v>96</v>
      </c>
      <c r="M81" s="182">
        <v>0.96</v>
      </c>
      <c r="N81" s="182">
        <v>0.96</v>
      </c>
      <c r="O81" s="49">
        <v>0.25</v>
      </c>
      <c r="P81" s="49">
        <v>0.28000000000000003</v>
      </c>
      <c r="Q81" s="49">
        <v>0.23</v>
      </c>
      <c r="R81" s="49">
        <v>0.2</v>
      </c>
      <c r="S81" s="49">
        <v>6</v>
      </c>
      <c r="T81" s="49">
        <v>26</v>
      </c>
      <c r="U81" s="320">
        <v>0.23076923076923078</v>
      </c>
      <c r="V81" s="40">
        <v>17</v>
      </c>
      <c r="W81" s="40">
        <v>26</v>
      </c>
      <c r="X81" s="320">
        <v>0.65384615384615385</v>
      </c>
      <c r="Y81" s="40">
        <v>25</v>
      </c>
      <c r="Z81" s="40">
        <v>26</v>
      </c>
      <c r="AA81" s="320">
        <v>0.96153846153846156</v>
      </c>
      <c r="AB81" s="40">
        <v>34</v>
      </c>
      <c r="AC81" s="40">
        <v>26</v>
      </c>
      <c r="AD81" s="320">
        <v>1.3076923076923077</v>
      </c>
      <c r="AE81" s="312">
        <v>1.3621794871794872</v>
      </c>
      <c r="AF81" s="303" t="s">
        <v>16</v>
      </c>
      <c r="AG81" s="276" t="s">
        <v>560</v>
      </c>
      <c r="AH81" s="108"/>
      <c r="AI81" s="51" t="s">
        <v>61</v>
      </c>
      <c r="AJ81" s="51" t="s">
        <v>291</v>
      </c>
      <c r="AK81" s="51" t="s">
        <v>380</v>
      </c>
      <c r="AL81" s="36"/>
      <c r="AM81" s="36"/>
      <c r="AN81" s="36"/>
      <c r="AO81" s="36"/>
      <c r="AP81" s="36"/>
      <c r="AQ81" s="36"/>
      <c r="AR81" s="36"/>
      <c r="AS81" s="36"/>
      <c r="AT81" s="36"/>
      <c r="AU81" s="36"/>
      <c r="AV81" s="36"/>
      <c r="AW81" s="36"/>
      <c r="AX81" s="36"/>
      <c r="AY81" s="36"/>
      <c r="AZ81" s="36"/>
      <c r="BA81" s="36"/>
      <c r="BB81" s="36"/>
    </row>
    <row r="82" spans="1:54" s="37" customFormat="1" ht="156" x14ac:dyDescent="0.2">
      <c r="A82" s="51">
        <v>72</v>
      </c>
      <c r="B82" s="238">
        <v>3</v>
      </c>
      <c r="C82" s="238" t="s">
        <v>62</v>
      </c>
      <c r="D82" s="44" t="s">
        <v>374</v>
      </c>
      <c r="E82" s="254" t="s">
        <v>375</v>
      </c>
      <c r="F82" s="41" t="s">
        <v>381</v>
      </c>
      <c r="G82" s="255">
        <v>43100</v>
      </c>
      <c r="H82" s="238" t="s">
        <v>35</v>
      </c>
      <c r="I82" s="41" t="s">
        <v>382</v>
      </c>
      <c r="J82" s="41" t="s">
        <v>383</v>
      </c>
      <c r="K82" s="41" t="s">
        <v>384</v>
      </c>
      <c r="L82" s="70" t="s">
        <v>96</v>
      </c>
      <c r="M82" s="182">
        <v>1</v>
      </c>
      <c r="N82" s="182">
        <v>1</v>
      </c>
      <c r="O82" s="49">
        <v>0</v>
      </c>
      <c r="P82" s="49">
        <v>0.33</v>
      </c>
      <c r="Q82" s="49">
        <v>0.34</v>
      </c>
      <c r="R82" s="49">
        <v>0.33</v>
      </c>
      <c r="S82" s="49" t="s">
        <v>79</v>
      </c>
      <c r="T82" s="49" t="s">
        <v>79</v>
      </c>
      <c r="U82" s="320"/>
      <c r="V82" s="40">
        <v>14</v>
      </c>
      <c r="W82" s="40">
        <v>42</v>
      </c>
      <c r="X82" s="320">
        <v>0.33333333333333331</v>
      </c>
      <c r="Y82" s="40">
        <v>28</v>
      </c>
      <c r="Z82" s="40">
        <v>42</v>
      </c>
      <c r="AA82" s="320">
        <v>0.66666666666666663</v>
      </c>
      <c r="AB82" s="40">
        <v>42</v>
      </c>
      <c r="AC82" s="40">
        <v>42</v>
      </c>
      <c r="AD82" s="320">
        <v>1</v>
      </c>
      <c r="AE82" s="312">
        <v>1</v>
      </c>
      <c r="AF82" s="303" t="s">
        <v>16</v>
      </c>
      <c r="AG82" s="276" t="s">
        <v>561</v>
      </c>
      <c r="AH82" s="108"/>
      <c r="AI82" s="51" t="s">
        <v>61</v>
      </c>
      <c r="AJ82" s="51" t="s">
        <v>291</v>
      </c>
      <c r="AK82" s="51" t="s">
        <v>380</v>
      </c>
      <c r="AL82" s="36"/>
      <c r="AM82" s="36"/>
      <c r="AN82" s="36"/>
      <c r="AO82" s="36"/>
      <c r="AP82" s="36"/>
      <c r="AQ82" s="36"/>
      <c r="AR82" s="36"/>
      <c r="AS82" s="36"/>
      <c r="AT82" s="36"/>
      <c r="AU82" s="36"/>
      <c r="AV82" s="36"/>
      <c r="AW82" s="36"/>
      <c r="AX82" s="36"/>
      <c r="AY82" s="36"/>
      <c r="AZ82" s="36"/>
      <c r="BA82" s="36"/>
      <c r="BB82" s="36"/>
    </row>
    <row r="83" spans="1:54" s="37" customFormat="1" ht="409.5" x14ac:dyDescent="0.2">
      <c r="A83" s="51">
        <v>73</v>
      </c>
      <c r="B83" s="238">
        <v>3</v>
      </c>
      <c r="C83" s="238" t="s">
        <v>62</v>
      </c>
      <c r="D83" s="44" t="s">
        <v>374</v>
      </c>
      <c r="E83" s="254" t="s">
        <v>375</v>
      </c>
      <c r="F83" s="41" t="s">
        <v>562</v>
      </c>
      <c r="G83" s="255">
        <v>43100</v>
      </c>
      <c r="H83" s="238" t="s">
        <v>35</v>
      </c>
      <c r="I83" s="41" t="s">
        <v>563</v>
      </c>
      <c r="J83" s="41" t="s">
        <v>385</v>
      </c>
      <c r="K83" s="41" t="s">
        <v>386</v>
      </c>
      <c r="L83" s="70" t="s">
        <v>96</v>
      </c>
      <c r="M83" s="182">
        <v>1</v>
      </c>
      <c r="N83" s="182">
        <v>1</v>
      </c>
      <c r="O83" s="49">
        <v>0.23</v>
      </c>
      <c r="P83" s="49">
        <v>0.27</v>
      </c>
      <c r="Q83" s="49">
        <v>0.24</v>
      </c>
      <c r="R83" s="49">
        <v>0.26</v>
      </c>
      <c r="S83" s="49">
        <v>9</v>
      </c>
      <c r="T83" s="49">
        <v>30</v>
      </c>
      <c r="U83" s="320">
        <v>0.3</v>
      </c>
      <c r="V83" s="40">
        <v>20</v>
      </c>
      <c r="W83" s="40">
        <v>30</v>
      </c>
      <c r="X83" s="320">
        <v>0.66666666666666663</v>
      </c>
      <c r="Y83" s="40">
        <v>30</v>
      </c>
      <c r="Z83" s="40">
        <v>30</v>
      </c>
      <c r="AA83" s="320">
        <v>1</v>
      </c>
      <c r="AB83" s="40">
        <v>41</v>
      </c>
      <c r="AC83" s="40">
        <v>30</v>
      </c>
      <c r="AD83" s="320">
        <v>1.3666666666666667</v>
      </c>
      <c r="AE83" s="312">
        <v>1.3666666666666667</v>
      </c>
      <c r="AF83" s="303" t="s">
        <v>16</v>
      </c>
      <c r="AG83" s="276" t="s">
        <v>564</v>
      </c>
      <c r="AH83" s="108"/>
      <c r="AI83" s="51" t="s">
        <v>61</v>
      </c>
      <c r="AJ83" s="51" t="s">
        <v>291</v>
      </c>
      <c r="AK83" s="51" t="s">
        <v>380</v>
      </c>
      <c r="AL83" s="36"/>
      <c r="AM83" s="36"/>
      <c r="AN83" s="36"/>
      <c r="AO83" s="36"/>
      <c r="AP83" s="36"/>
      <c r="AQ83" s="36"/>
      <c r="AR83" s="36"/>
      <c r="AS83" s="36"/>
      <c r="AT83" s="36"/>
      <c r="AU83" s="36"/>
      <c r="AV83" s="36"/>
      <c r="AW83" s="36"/>
      <c r="AX83" s="36"/>
      <c r="AY83" s="36"/>
      <c r="AZ83" s="36"/>
      <c r="BA83" s="36"/>
      <c r="BB83" s="36"/>
    </row>
    <row r="84" spans="1:54" s="37" customFormat="1" ht="409.5" x14ac:dyDescent="0.2">
      <c r="A84" s="51">
        <v>74</v>
      </c>
      <c r="B84" s="238">
        <v>3</v>
      </c>
      <c r="C84" s="238" t="s">
        <v>62</v>
      </c>
      <c r="D84" s="44" t="s">
        <v>374</v>
      </c>
      <c r="E84" s="254" t="s">
        <v>375</v>
      </c>
      <c r="F84" s="41" t="s">
        <v>387</v>
      </c>
      <c r="G84" s="255">
        <v>43100</v>
      </c>
      <c r="H84" s="238" t="s">
        <v>35</v>
      </c>
      <c r="I84" s="41" t="s">
        <v>388</v>
      </c>
      <c r="J84" s="41" t="s">
        <v>389</v>
      </c>
      <c r="K84" s="41" t="s">
        <v>390</v>
      </c>
      <c r="L84" s="70" t="s">
        <v>96</v>
      </c>
      <c r="M84" s="182">
        <v>1</v>
      </c>
      <c r="N84" s="182">
        <v>1</v>
      </c>
      <c r="O84" s="49">
        <v>0</v>
      </c>
      <c r="P84" s="49">
        <v>0.33</v>
      </c>
      <c r="Q84" s="49">
        <v>0.34</v>
      </c>
      <c r="R84" s="49">
        <v>0.33</v>
      </c>
      <c r="S84" s="49" t="s">
        <v>79</v>
      </c>
      <c r="T84" s="49" t="s">
        <v>79</v>
      </c>
      <c r="U84" s="320"/>
      <c r="V84" s="40">
        <v>14</v>
      </c>
      <c r="W84" s="40">
        <v>42</v>
      </c>
      <c r="X84" s="320">
        <v>0.33333333333333331</v>
      </c>
      <c r="Y84" s="40">
        <v>28</v>
      </c>
      <c r="Z84" s="40">
        <v>42</v>
      </c>
      <c r="AA84" s="320">
        <v>0.66666666666666663</v>
      </c>
      <c r="AB84" s="40">
        <v>42</v>
      </c>
      <c r="AC84" s="40">
        <v>42</v>
      </c>
      <c r="AD84" s="320">
        <v>1</v>
      </c>
      <c r="AE84" s="312">
        <v>1</v>
      </c>
      <c r="AF84" s="303" t="s">
        <v>16</v>
      </c>
      <c r="AG84" s="276" t="s">
        <v>565</v>
      </c>
      <c r="AH84" s="108"/>
      <c r="AI84" s="51" t="s">
        <v>61</v>
      </c>
      <c r="AJ84" s="51" t="s">
        <v>291</v>
      </c>
      <c r="AK84" s="51" t="s">
        <v>380</v>
      </c>
      <c r="AL84" s="36"/>
      <c r="AM84" s="36"/>
      <c r="AN84" s="36"/>
      <c r="AO84" s="36"/>
      <c r="AP84" s="36"/>
      <c r="AQ84" s="36"/>
      <c r="AR84" s="36"/>
      <c r="AS84" s="36"/>
      <c r="AT84" s="36"/>
      <c r="AU84" s="36"/>
      <c r="AV84" s="36"/>
      <c r="AW84" s="36"/>
      <c r="AX84" s="36"/>
      <c r="AY84" s="36"/>
      <c r="AZ84" s="36"/>
      <c r="BA84" s="36"/>
      <c r="BB84" s="36"/>
    </row>
    <row r="85" spans="1:54" s="37" customFormat="1" ht="409.5" x14ac:dyDescent="0.2">
      <c r="A85" s="51">
        <v>75</v>
      </c>
      <c r="B85" s="238">
        <v>3</v>
      </c>
      <c r="C85" s="238" t="s">
        <v>62</v>
      </c>
      <c r="D85" s="44" t="s">
        <v>374</v>
      </c>
      <c r="E85" s="254" t="s">
        <v>375</v>
      </c>
      <c r="F85" s="41" t="s">
        <v>391</v>
      </c>
      <c r="G85" s="255">
        <v>43100</v>
      </c>
      <c r="H85" s="238" t="s">
        <v>35</v>
      </c>
      <c r="I85" s="41" t="s">
        <v>392</v>
      </c>
      <c r="J85" s="41" t="s">
        <v>393</v>
      </c>
      <c r="K85" s="41" t="s">
        <v>394</v>
      </c>
      <c r="L85" s="70" t="s">
        <v>96</v>
      </c>
      <c r="M85" s="182">
        <v>1</v>
      </c>
      <c r="N85" s="182">
        <v>1</v>
      </c>
      <c r="O85" s="49">
        <v>0.38</v>
      </c>
      <c r="P85" s="49">
        <v>0.14000000000000001</v>
      </c>
      <c r="Q85" s="49">
        <v>0.28999999999999998</v>
      </c>
      <c r="R85" s="49">
        <v>0.19</v>
      </c>
      <c r="S85" s="49">
        <v>8</v>
      </c>
      <c r="T85" s="49">
        <v>21</v>
      </c>
      <c r="U85" s="320">
        <v>0.38095238095238093</v>
      </c>
      <c r="V85" s="40">
        <v>12</v>
      </c>
      <c r="W85" s="40">
        <v>21</v>
      </c>
      <c r="X85" s="320">
        <v>0.5714285714285714</v>
      </c>
      <c r="Y85" s="40">
        <v>17</v>
      </c>
      <c r="Z85" s="40">
        <v>21</v>
      </c>
      <c r="AA85" s="320">
        <v>0.80952380952380953</v>
      </c>
      <c r="AB85" s="40">
        <v>21</v>
      </c>
      <c r="AC85" s="40">
        <v>21</v>
      </c>
      <c r="AD85" s="320">
        <v>1</v>
      </c>
      <c r="AE85" s="312">
        <v>1</v>
      </c>
      <c r="AF85" s="303" t="s">
        <v>16</v>
      </c>
      <c r="AG85" s="276" t="s">
        <v>566</v>
      </c>
      <c r="AH85" s="108"/>
      <c r="AI85" s="51" t="s">
        <v>61</v>
      </c>
      <c r="AJ85" s="51" t="s">
        <v>291</v>
      </c>
      <c r="AK85" s="51" t="s">
        <v>380</v>
      </c>
      <c r="AL85" s="36"/>
      <c r="AM85" s="36"/>
      <c r="AN85" s="36"/>
      <c r="AO85" s="36"/>
      <c r="AP85" s="36"/>
      <c r="AQ85" s="36"/>
      <c r="AR85" s="36"/>
      <c r="AS85" s="36"/>
      <c r="AT85" s="36"/>
      <c r="AU85" s="36"/>
      <c r="AV85" s="36"/>
      <c r="AW85" s="36"/>
      <c r="AX85" s="36"/>
      <c r="AY85" s="36"/>
      <c r="AZ85" s="36"/>
      <c r="BA85" s="36"/>
      <c r="BB85" s="36"/>
    </row>
    <row r="86" spans="1:54" s="19" customFormat="1" ht="21.75" customHeight="1" x14ac:dyDescent="0.2">
      <c r="A86" s="22"/>
      <c r="F86"/>
      <c r="N86" s="22"/>
      <c r="O86" s="22"/>
      <c r="P86" s="22"/>
      <c r="Q86" s="22"/>
      <c r="R86" s="23"/>
      <c r="S86" s="23"/>
      <c r="T86" s="23"/>
      <c r="U86" s="23"/>
      <c r="V86" s="23"/>
      <c r="W86" s="23"/>
      <c r="X86" s="23"/>
      <c r="Y86" s="23"/>
      <c r="Z86" s="23"/>
      <c r="AA86" s="23"/>
      <c r="AB86" s="23"/>
      <c r="AC86" s="23"/>
      <c r="AD86" s="23"/>
      <c r="AE86" s="23"/>
      <c r="AF86" s="22"/>
      <c r="AG86" s="289"/>
    </row>
    <row r="87" spans="1:54" s="19" customFormat="1" ht="85.5" customHeight="1" x14ac:dyDescent="0.2">
      <c r="A87" s="22"/>
      <c r="N87" s="22"/>
      <c r="O87" s="22"/>
      <c r="P87" s="22"/>
      <c r="Q87" s="22"/>
      <c r="R87" s="23"/>
      <c r="S87" s="23"/>
      <c r="T87" s="23"/>
      <c r="U87" s="23"/>
      <c r="V87" s="23"/>
      <c r="W87" s="23"/>
      <c r="X87" s="23"/>
      <c r="Y87" s="23"/>
      <c r="Z87" s="23"/>
      <c r="AA87" s="23"/>
      <c r="AB87" s="23"/>
      <c r="AC87" s="23"/>
      <c r="AD87" s="23"/>
      <c r="AE87" s="23"/>
      <c r="AF87" s="22"/>
      <c r="AG87" s="289"/>
    </row>
    <row r="88" spans="1:54" s="19" customFormat="1" ht="85.5" customHeight="1" x14ac:dyDescent="0.2">
      <c r="A88" s="22"/>
      <c r="N88" s="22"/>
      <c r="O88" s="22"/>
      <c r="P88" s="22"/>
      <c r="Q88" s="22"/>
      <c r="R88" s="23"/>
      <c r="S88" s="23"/>
      <c r="T88" s="23"/>
      <c r="U88" s="23"/>
      <c r="V88" s="23"/>
      <c r="W88" s="38"/>
      <c r="X88" s="23"/>
      <c r="Y88" s="23"/>
      <c r="Z88" s="23"/>
      <c r="AA88" s="23"/>
      <c r="AB88" s="23"/>
      <c r="AC88" s="23"/>
      <c r="AD88" s="23"/>
      <c r="AE88" s="23"/>
      <c r="AF88" s="22"/>
      <c r="AG88" s="289"/>
    </row>
    <row r="89" spans="1:54" s="19" customFormat="1" ht="85.5" customHeight="1" x14ac:dyDescent="0.2">
      <c r="A89" s="22"/>
      <c r="N89" s="22"/>
      <c r="O89" s="22"/>
      <c r="P89" s="22"/>
      <c r="Q89" s="22"/>
      <c r="R89" s="23"/>
      <c r="S89" s="23"/>
      <c r="T89" s="23"/>
      <c r="U89" s="23"/>
      <c r="V89" s="23"/>
      <c r="W89" s="23"/>
      <c r="X89" s="23"/>
      <c r="Y89" s="23"/>
      <c r="Z89" s="23"/>
      <c r="AA89" s="23"/>
      <c r="AB89" s="23"/>
      <c r="AC89" s="23"/>
      <c r="AD89" s="23"/>
      <c r="AE89" s="23"/>
      <c r="AF89" s="22"/>
      <c r="AG89" s="289"/>
    </row>
    <row r="90" spans="1:54" s="19" customFormat="1" ht="85.5" customHeight="1" x14ac:dyDescent="0.2">
      <c r="A90" s="22"/>
      <c r="N90" s="22"/>
      <c r="O90" s="22"/>
      <c r="P90" s="22"/>
      <c r="Q90" s="22"/>
      <c r="R90" s="23"/>
      <c r="S90" s="23"/>
      <c r="T90" s="23"/>
      <c r="U90" s="23"/>
      <c r="V90" s="23"/>
      <c r="W90" s="23"/>
      <c r="X90" s="23"/>
      <c r="Y90" s="23"/>
      <c r="Z90" s="23"/>
      <c r="AA90" s="23"/>
      <c r="AB90" s="23"/>
      <c r="AC90" s="23"/>
      <c r="AD90" s="23"/>
      <c r="AE90" s="23"/>
      <c r="AF90" s="22"/>
      <c r="AG90" s="289"/>
    </row>
    <row r="91" spans="1:54" s="19" customFormat="1" ht="85.5" customHeight="1" x14ac:dyDescent="0.2">
      <c r="A91" s="22"/>
      <c r="N91" s="22"/>
      <c r="O91" s="22"/>
      <c r="P91" s="22"/>
      <c r="Q91" s="22"/>
      <c r="R91" s="23"/>
      <c r="S91" s="23"/>
      <c r="T91" s="23"/>
      <c r="U91" s="23"/>
      <c r="V91" s="23"/>
      <c r="W91" s="23"/>
      <c r="X91" s="23"/>
      <c r="Y91" s="23"/>
      <c r="Z91" s="23"/>
      <c r="AA91" s="23"/>
      <c r="AB91" s="23"/>
      <c r="AC91" s="23"/>
      <c r="AD91" s="23"/>
      <c r="AE91" s="23"/>
      <c r="AF91" s="22"/>
      <c r="AG91" s="289"/>
    </row>
    <row r="92" spans="1:54" s="19" customFormat="1" ht="85.5" customHeight="1" x14ac:dyDescent="0.2">
      <c r="A92" s="22"/>
      <c r="N92" s="22"/>
      <c r="O92" s="22"/>
      <c r="P92" s="22"/>
      <c r="Q92" s="22"/>
      <c r="R92" s="23"/>
      <c r="S92" s="23"/>
      <c r="T92" s="23"/>
      <c r="U92" s="23"/>
      <c r="V92" s="23"/>
      <c r="W92" s="23"/>
      <c r="X92" s="23"/>
      <c r="Y92" s="23"/>
      <c r="Z92" s="23"/>
      <c r="AA92" s="23"/>
      <c r="AB92" s="23"/>
      <c r="AC92" s="23"/>
      <c r="AD92" s="23"/>
      <c r="AE92" s="23"/>
      <c r="AF92" s="22"/>
      <c r="AG92" s="289"/>
    </row>
    <row r="93" spans="1:54" s="19" customFormat="1" ht="85.5" customHeight="1" x14ac:dyDescent="0.2">
      <c r="A93" s="22"/>
      <c r="N93" s="29"/>
      <c r="O93" s="29"/>
      <c r="P93" s="29"/>
      <c r="Q93" s="29"/>
      <c r="R93" s="23"/>
      <c r="S93" s="23"/>
      <c r="T93" s="23"/>
      <c r="U93" s="23"/>
      <c r="V93" s="23"/>
      <c r="W93" s="23"/>
      <c r="X93" s="23"/>
      <c r="Y93" s="23"/>
      <c r="Z93" s="23"/>
      <c r="AA93" s="23"/>
      <c r="AB93" s="23"/>
      <c r="AC93" s="23"/>
      <c r="AD93" s="23"/>
      <c r="AE93" s="23"/>
      <c r="AG93" s="290"/>
    </row>
    <row r="94" spans="1:54" s="19" customFormat="1" ht="85.5" customHeight="1" x14ac:dyDescent="0.2">
      <c r="A94" s="22"/>
      <c r="N94" s="29"/>
      <c r="O94" s="29"/>
      <c r="P94" s="29"/>
      <c r="Q94" s="29"/>
      <c r="R94" s="23"/>
      <c r="S94" s="23"/>
      <c r="T94" s="23"/>
      <c r="U94" s="23"/>
      <c r="V94" s="23"/>
      <c r="W94" s="23"/>
      <c r="X94" s="23"/>
      <c r="Y94" s="23"/>
      <c r="Z94" s="23"/>
      <c r="AA94" s="23"/>
      <c r="AB94" s="23"/>
      <c r="AC94" s="23"/>
      <c r="AD94" s="23"/>
      <c r="AE94" s="23"/>
      <c r="AG94" s="290"/>
    </row>
    <row r="95" spans="1:54" s="19" customFormat="1" ht="85.5" customHeight="1" x14ac:dyDescent="0.2">
      <c r="A95" s="22"/>
      <c r="N95" s="29"/>
      <c r="O95" s="29"/>
      <c r="P95" s="29"/>
      <c r="Q95" s="29"/>
      <c r="R95" s="23"/>
      <c r="S95" s="23"/>
      <c r="T95" s="23"/>
      <c r="U95" s="23"/>
      <c r="V95" s="23"/>
      <c r="W95" s="23"/>
      <c r="X95" s="23"/>
      <c r="Y95" s="23"/>
      <c r="Z95" s="23"/>
      <c r="AA95" s="23"/>
      <c r="AB95" s="23"/>
      <c r="AC95" s="23"/>
      <c r="AD95" s="23"/>
      <c r="AE95" s="23"/>
      <c r="AG95" s="290"/>
    </row>
    <row r="96" spans="1:54" s="19" customFormat="1" ht="85.5" customHeight="1" x14ac:dyDescent="0.2">
      <c r="A96" s="22"/>
      <c r="N96" s="29"/>
      <c r="O96" s="29"/>
      <c r="P96" s="29"/>
      <c r="Q96" s="29"/>
      <c r="R96" s="23"/>
      <c r="S96" s="23"/>
      <c r="T96" s="23"/>
      <c r="U96" s="23"/>
      <c r="V96" s="23"/>
      <c r="W96" s="23"/>
      <c r="X96" s="23"/>
      <c r="Y96" s="23"/>
      <c r="Z96" s="23"/>
      <c r="AA96" s="23"/>
      <c r="AB96" s="23"/>
      <c r="AC96" s="23"/>
      <c r="AD96" s="23"/>
      <c r="AE96" s="23"/>
      <c r="AG96" s="290"/>
    </row>
    <row r="97" spans="1:33" s="19" customFormat="1" ht="85.5" customHeight="1" x14ac:dyDescent="0.2">
      <c r="A97" s="22"/>
      <c r="N97" s="29"/>
      <c r="O97" s="29"/>
      <c r="P97" s="29"/>
      <c r="Q97" s="29"/>
      <c r="R97" s="23"/>
      <c r="S97" s="23"/>
      <c r="T97" s="23"/>
      <c r="U97" s="23"/>
      <c r="V97" s="23"/>
      <c r="W97" s="23"/>
      <c r="X97" s="23"/>
      <c r="Y97" s="23"/>
      <c r="Z97" s="23"/>
      <c r="AA97" s="23"/>
      <c r="AB97" s="23"/>
      <c r="AC97" s="23"/>
      <c r="AD97" s="23"/>
      <c r="AE97" s="23"/>
      <c r="AG97" s="290"/>
    </row>
    <row r="98" spans="1:33" s="19" customFormat="1" ht="85.5" customHeight="1" x14ac:dyDescent="0.2">
      <c r="A98" s="22"/>
      <c r="B98" s="24"/>
      <c r="C98" s="24"/>
      <c r="D98" s="24"/>
      <c r="E98" s="24"/>
      <c r="F98" s="24"/>
      <c r="G98" s="24"/>
      <c r="H98" s="24"/>
      <c r="I98" s="24"/>
      <c r="J98" s="24"/>
      <c r="K98" s="24"/>
      <c r="L98" s="24"/>
      <c r="M98" s="24"/>
      <c r="N98" s="29"/>
      <c r="O98" s="29"/>
      <c r="P98" s="29"/>
      <c r="Q98" s="29"/>
      <c r="R98" s="21"/>
      <c r="S98" s="21"/>
      <c r="T98" s="21"/>
      <c r="U98" s="21"/>
      <c r="V98" s="21"/>
      <c r="W98" s="21"/>
      <c r="X98" s="21"/>
      <c r="Y98" s="21"/>
      <c r="Z98" s="21"/>
      <c r="AA98" s="21"/>
      <c r="AB98" s="21"/>
      <c r="AC98" s="21"/>
      <c r="AD98" s="21"/>
      <c r="AE98" s="21"/>
      <c r="AG98" s="290"/>
    </row>
    <row r="99" spans="1:33" s="19" customFormat="1" ht="85.5" customHeight="1" x14ac:dyDescent="0.2">
      <c r="A99" s="22"/>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G99" s="290"/>
    </row>
    <row r="100" spans="1:33" s="19" customFormat="1" ht="85.5" customHeight="1" x14ac:dyDescent="0.2">
      <c r="A100" s="22"/>
      <c r="B100" s="24"/>
      <c r="C100" s="24"/>
      <c r="D100" s="28"/>
      <c r="E100" s="28"/>
      <c r="F100" s="28"/>
      <c r="G100" s="28"/>
      <c r="H100" s="28"/>
      <c r="I100" s="28"/>
      <c r="J100" s="28"/>
      <c r="K100" s="28"/>
      <c r="L100" s="28"/>
      <c r="M100" s="28"/>
      <c r="N100" s="29"/>
      <c r="O100" s="29"/>
      <c r="P100" s="29"/>
      <c r="Q100" s="29"/>
      <c r="R100" s="21"/>
      <c r="S100" s="21"/>
      <c r="T100" s="21"/>
      <c r="U100" s="21"/>
      <c r="V100" s="21"/>
      <c r="W100" s="21"/>
      <c r="X100" s="21"/>
      <c r="Y100" s="21"/>
      <c r="Z100" s="21"/>
      <c r="AA100" s="21"/>
      <c r="AB100" s="21"/>
      <c r="AC100" s="21"/>
      <c r="AD100" s="21"/>
      <c r="AE100" s="21"/>
      <c r="AG100" s="290"/>
    </row>
    <row r="101" spans="1:33" s="19" customFormat="1" ht="85.5" customHeight="1" x14ac:dyDescent="0.2">
      <c r="A101" s="22"/>
      <c r="B101" s="24"/>
      <c r="C101" s="24"/>
      <c r="D101" s="28"/>
      <c r="E101" s="28"/>
      <c r="F101" s="28"/>
      <c r="G101" s="28"/>
      <c r="H101" s="28"/>
      <c r="I101" s="28"/>
      <c r="J101" s="28"/>
      <c r="K101" s="28"/>
      <c r="L101" s="28"/>
      <c r="M101" s="28"/>
      <c r="N101" s="30"/>
      <c r="O101" s="30"/>
      <c r="P101" s="30"/>
      <c r="Q101" s="30"/>
      <c r="R101" s="21"/>
      <c r="S101" s="21"/>
      <c r="T101" s="21"/>
      <c r="U101" s="21"/>
      <c r="V101" s="21"/>
      <c r="W101" s="21"/>
      <c r="X101" s="21"/>
      <c r="Y101" s="21"/>
      <c r="Z101" s="21"/>
      <c r="AA101" s="21"/>
      <c r="AB101" s="21"/>
      <c r="AC101" s="21"/>
      <c r="AD101" s="21"/>
      <c r="AE101" s="21"/>
      <c r="AG101" s="290"/>
    </row>
    <row r="102" spans="1:33" s="19" customFormat="1" ht="85.5" customHeight="1" x14ac:dyDescent="0.2">
      <c r="A102" s="22"/>
      <c r="B102" s="24"/>
      <c r="C102" s="24"/>
      <c r="D102" s="28"/>
      <c r="E102" s="28"/>
      <c r="F102" s="28"/>
      <c r="G102" s="28"/>
      <c r="H102" s="28"/>
      <c r="I102" s="28"/>
      <c r="J102" s="28"/>
      <c r="K102" s="28"/>
      <c r="L102" s="28"/>
      <c r="M102" s="28"/>
      <c r="N102" s="30"/>
      <c r="O102" s="30"/>
      <c r="P102" s="30"/>
      <c r="Q102" s="30"/>
      <c r="R102" s="21"/>
      <c r="S102" s="21"/>
      <c r="T102" s="21"/>
      <c r="U102" s="21"/>
      <c r="V102" s="21"/>
      <c r="W102" s="21"/>
      <c r="X102" s="21"/>
      <c r="Y102" s="21"/>
      <c r="Z102" s="21"/>
      <c r="AA102" s="21"/>
      <c r="AB102" s="21"/>
      <c r="AC102" s="21"/>
      <c r="AD102" s="21"/>
      <c r="AE102" s="21"/>
      <c r="AG102" s="290"/>
    </row>
    <row r="103" spans="1:33" s="19" customFormat="1" ht="85.5" customHeight="1" x14ac:dyDescent="0.2">
      <c r="A103" s="22"/>
      <c r="B103" s="24"/>
      <c r="C103" s="24"/>
      <c r="D103" s="28"/>
      <c r="E103" s="28"/>
      <c r="F103" s="28"/>
      <c r="G103" s="28"/>
      <c r="H103" s="28"/>
      <c r="I103" s="28"/>
      <c r="J103" s="28"/>
      <c r="K103" s="28"/>
      <c r="L103" s="28"/>
      <c r="M103" s="28"/>
      <c r="N103" s="28"/>
      <c r="O103" s="28"/>
      <c r="P103" s="28"/>
      <c r="Q103" s="28"/>
      <c r="R103" s="21"/>
      <c r="S103" s="21"/>
      <c r="T103" s="21"/>
      <c r="U103" s="21"/>
      <c r="V103" s="21"/>
      <c r="W103" s="21"/>
      <c r="X103" s="21"/>
      <c r="Y103" s="21"/>
      <c r="Z103" s="21"/>
      <c r="AA103" s="21"/>
      <c r="AB103" s="21"/>
      <c r="AC103" s="21"/>
      <c r="AD103" s="21"/>
      <c r="AE103" s="21"/>
      <c r="AG103" s="290"/>
    </row>
    <row r="104" spans="1:33" s="19" customFormat="1" ht="85.5" customHeight="1" x14ac:dyDescent="0.2">
      <c r="A104" s="22"/>
      <c r="B104" s="24"/>
      <c r="C104" s="24"/>
      <c r="D104" s="28"/>
      <c r="E104" s="28"/>
      <c r="F104" s="28"/>
      <c r="G104" s="28"/>
      <c r="H104" s="28"/>
      <c r="I104" s="28"/>
      <c r="J104" s="28"/>
      <c r="K104" s="28"/>
      <c r="L104" s="28"/>
      <c r="M104" s="28"/>
      <c r="N104" s="25"/>
      <c r="O104" s="25"/>
      <c r="P104" s="25"/>
      <c r="Q104" s="25"/>
      <c r="R104" s="21"/>
      <c r="S104" s="21"/>
      <c r="T104" s="21"/>
      <c r="U104" s="21"/>
      <c r="V104" s="21"/>
      <c r="W104" s="21"/>
      <c r="X104" s="21"/>
      <c r="Y104" s="21"/>
      <c r="Z104" s="21"/>
      <c r="AA104" s="21"/>
      <c r="AB104" s="21"/>
      <c r="AC104" s="21"/>
      <c r="AD104" s="21"/>
      <c r="AE104" s="21"/>
      <c r="AG104" s="290"/>
    </row>
    <row r="105" spans="1:33" ht="85.5" customHeight="1" x14ac:dyDescent="0.2">
      <c r="B105" s="24"/>
      <c r="C105" s="24"/>
      <c r="D105" s="28"/>
      <c r="E105" s="28"/>
      <c r="F105" s="28"/>
      <c r="G105" s="28"/>
      <c r="H105" s="28"/>
      <c r="I105" s="28"/>
      <c r="J105" s="28"/>
      <c r="K105" s="28"/>
      <c r="L105" s="28"/>
      <c r="M105" s="28"/>
      <c r="N105" s="25"/>
      <c r="O105" s="25"/>
      <c r="P105" s="25"/>
      <c r="Q105" s="25"/>
      <c r="R105" s="21"/>
      <c r="S105" s="21"/>
      <c r="T105" s="21"/>
      <c r="U105" s="21"/>
      <c r="V105" s="21"/>
      <c r="W105" s="21"/>
      <c r="X105" s="21"/>
      <c r="Y105" s="21"/>
      <c r="Z105" s="21"/>
      <c r="AA105" s="21"/>
      <c r="AB105" s="21"/>
      <c r="AC105" s="21"/>
      <c r="AD105" s="21"/>
      <c r="AE105" s="21"/>
    </row>
    <row r="106" spans="1:33" ht="85.5" customHeight="1" x14ac:dyDescent="0.2">
      <c r="B106" s="24"/>
      <c r="C106" s="24"/>
      <c r="D106" s="28"/>
      <c r="E106" s="28"/>
      <c r="F106" s="28"/>
      <c r="G106" s="28"/>
      <c r="H106" s="28"/>
      <c r="I106" s="28"/>
      <c r="J106" s="28"/>
      <c r="K106" s="28"/>
      <c r="L106" s="28"/>
      <c r="M106" s="28"/>
      <c r="N106" s="25"/>
      <c r="O106" s="25"/>
      <c r="P106" s="25"/>
      <c r="Q106" s="25"/>
      <c r="R106" s="21"/>
      <c r="S106" s="21"/>
      <c r="T106" s="21"/>
      <c r="U106" s="21"/>
      <c r="V106" s="21"/>
      <c r="W106" s="21"/>
      <c r="X106" s="21"/>
      <c r="Y106" s="21"/>
      <c r="Z106" s="21"/>
      <c r="AA106" s="21"/>
      <c r="AB106" s="21"/>
      <c r="AC106" s="21"/>
      <c r="AD106" s="21"/>
      <c r="AE106" s="21"/>
    </row>
    <row r="107" spans="1:33" ht="85.5" customHeight="1" x14ac:dyDescent="0.2">
      <c r="B107" s="24"/>
      <c r="C107" s="24"/>
      <c r="D107" s="28"/>
      <c r="E107" s="28"/>
      <c r="F107" s="28"/>
      <c r="G107" s="28"/>
      <c r="H107" s="28"/>
      <c r="I107" s="28"/>
      <c r="J107" s="28"/>
      <c r="K107" s="28"/>
      <c r="L107" s="28"/>
      <c r="M107" s="28"/>
      <c r="N107" s="25"/>
      <c r="O107" s="25"/>
      <c r="P107" s="25"/>
      <c r="Q107" s="25"/>
      <c r="R107" s="21"/>
      <c r="S107" s="21"/>
      <c r="T107" s="21"/>
      <c r="U107" s="21"/>
      <c r="V107" s="21"/>
      <c r="W107" s="21"/>
      <c r="X107" s="21"/>
      <c r="Y107" s="21"/>
      <c r="Z107" s="21"/>
      <c r="AA107" s="21"/>
      <c r="AB107" s="21"/>
      <c r="AC107" s="21"/>
      <c r="AD107" s="21"/>
      <c r="AE107" s="21"/>
    </row>
    <row r="108" spans="1:33" ht="85.5" customHeight="1" x14ac:dyDescent="0.2">
      <c r="B108" s="24"/>
      <c r="C108" s="24"/>
      <c r="D108" s="24"/>
      <c r="E108" s="24"/>
      <c r="F108" s="24"/>
      <c r="G108" s="24"/>
      <c r="H108" s="24"/>
      <c r="I108" s="24"/>
      <c r="J108" s="24"/>
      <c r="K108" s="24"/>
      <c r="L108" s="24"/>
      <c r="M108" s="24"/>
      <c r="N108" s="25"/>
      <c r="O108" s="25"/>
      <c r="P108" s="25"/>
      <c r="Q108" s="25"/>
      <c r="R108" s="21"/>
      <c r="S108" s="21"/>
      <c r="T108" s="21"/>
      <c r="U108" s="21"/>
      <c r="V108" s="21"/>
      <c r="W108" s="21"/>
      <c r="X108" s="21"/>
      <c r="Y108" s="21"/>
      <c r="Z108" s="21"/>
      <c r="AA108" s="21"/>
      <c r="AB108" s="21"/>
      <c r="AC108" s="21"/>
      <c r="AD108" s="21"/>
      <c r="AE108" s="21"/>
    </row>
    <row r="109" spans="1:33" ht="85.5" customHeight="1" x14ac:dyDescent="0.2">
      <c r="B109" s="24"/>
      <c r="C109" s="24"/>
      <c r="D109" s="24"/>
      <c r="E109" s="24"/>
      <c r="F109" s="24"/>
      <c r="G109" s="24"/>
      <c r="H109" s="24"/>
      <c r="I109" s="24"/>
      <c r="J109" s="24"/>
      <c r="K109" s="24"/>
      <c r="L109" s="24"/>
      <c r="M109" s="24"/>
      <c r="N109" s="25"/>
      <c r="O109" s="25"/>
      <c r="P109" s="25"/>
      <c r="Q109" s="25"/>
      <c r="R109" s="21"/>
      <c r="S109" s="21"/>
      <c r="T109" s="21"/>
      <c r="U109" s="21"/>
      <c r="V109" s="21"/>
      <c r="W109" s="21"/>
      <c r="X109" s="21"/>
      <c r="Y109" s="21"/>
      <c r="Z109" s="21"/>
      <c r="AA109" s="21"/>
      <c r="AB109" s="21"/>
      <c r="AC109" s="21"/>
      <c r="AD109" s="21"/>
      <c r="AE109" s="21"/>
    </row>
    <row r="110" spans="1:33" ht="85.5" customHeight="1" x14ac:dyDescent="0.2">
      <c r="B110" s="24"/>
      <c r="C110" s="24"/>
      <c r="D110" s="24"/>
      <c r="E110" s="24"/>
      <c r="F110" s="24"/>
      <c r="G110" s="24"/>
      <c r="H110" s="24"/>
      <c r="I110" s="24"/>
      <c r="J110" s="24"/>
      <c r="K110" s="24"/>
      <c r="L110" s="24"/>
      <c r="M110" s="24"/>
      <c r="N110" s="25"/>
      <c r="O110" s="25"/>
      <c r="P110" s="25"/>
      <c r="Q110" s="25"/>
      <c r="R110" s="21"/>
      <c r="S110" s="21"/>
      <c r="T110" s="21"/>
      <c r="U110" s="21"/>
      <c r="V110" s="21"/>
      <c r="W110" s="21"/>
      <c r="X110" s="21"/>
      <c r="Y110" s="21"/>
      <c r="Z110" s="21"/>
      <c r="AA110" s="21"/>
      <c r="AB110" s="21"/>
      <c r="AC110" s="21"/>
      <c r="AD110" s="21"/>
      <c r="AE110" s="21"/>
    </row>
    <row r="111" spans="1:33" ht="85.5" customHeight="1" x14ac:dyDescent="0.2">
      <c r="B111" s="24"/>
      <c r="C111" s="24"/>
      <c r="D111" s="24"/>
      <c r="E111" s="24"/>
      <c r="F111" s="24"/>
      <c r="G111" s="24"/>
      <c r="H111" s="24"/>
      <c r="I111" s="24"/>
      <c r="J111" s="24"/>
      <c r="K111" s="24"/>
      <c r="L111" s="24"/>
      <c r="M111" s="24"/>
      <c r="N111" s="25"/>
      <c r="O111" s="25"/>
      <c r="P111" s="25"/>
      <c r="Q111" s="25"/>
      <c r="R111" s="21"/>
      <c r="S111" s="21"/>
      <c r="T111" s="21"/>
      <c r="U111" s="21"/>
      <c r="V111" s="21"/>
      <c r="W111" s="21"/>
      <c r="X111" s="21"/>
      <c r="Y111" s="21"/>
      <c r="Z111" s="21"/>
      <c r="AA111" s="21"/>
      <c r="AB111" s="21"/>
      <c r="AC111" s="21"/>
      <c r="AD111" s="21"/>
      <c r="AE111" s="21"/>
    </row>
    <row r="112" spans="1:33" ht="85.5" customHeight="1" x14ac:dyDescent="0.2">
      <c r="B112" s="24"/>
      <c r="C112" s="24"/>
      <c r="D112" s="24"/>
      <c r="E112" s="24"/>
      <c r="F112" s="24"/>
      <c r="G112" s="24"/>
      <c r="H112" s="24"/>
      <c r="I112" s="24"/>
      <c r="J112" s="24"/>
      <c r="K112" s="24"/>
      <c r="L112" s="24"/>
      <c r="M112" s="24"/>
      <c r="N112" s="25"/>
      <c r="O112" s="25"/>
      <c r="P112" s="25"/>
      <c r="Q112" s="25"/>
      <c r="R112" s="21"/>
      <c r="S112" s="21"/>
      <c r="T112" s="21"/>
      <c r="U112" s="21"/>
      <c r="V112" s="21"/>
      <c r="W112" s="21"/>
      <c r="X112" s="21"/>
      <c r="Y112" s="21"/>
      <c r="Z112" s="21"/>
      <c r="AA112" s="21"/>
      <c r="AB112" s="21"/>
      <c r="AC112" s="21"/>
      <c r="AD112" s="21"/>
      <c r="AE112" s="21"/>
    </row>
    <row r="113" spans="2:31" ht="85.5" customHeight="1" x14ac:dyDescent="0.2">
      <c r="B113" s="24"/>
      <c r="C113" s="24"/>
      <c r="D113" s="24"/>
      <c r="E113" s="24"/>
      <c r="F113" s="24"/>
      <c r="G113" s="24"/>
      <c r="H113" s="24"/>
      <c r="I113" s="24"/>
      <c r="J113" s="24"/>
      <c r="K113" s="24"/>
      <c r="L113" s="24"/>
      <c r="M113" s="24"/>
      <c r="N113" s="25"/>
      <c r="O113" s="25"/>
      <c r="P113" s="25"/>
      <c r="Q113" s="25"/>
      <c r="R113" s="21"/>
      <c r="S113" s="21"/>
      <c r="T113" s="21"/>
      <c r="U113" s="21"/>
      <c r="V113" s="21"/>
      <c r="W113" s="21"/>
      <c r="X113" s="21"/>
      <c r="Y113" s="21"/>
      <c r="Z113" s="21"/>
      <c r="AA113" s="21"/>
      <c r="AB113" s="21"/>
      <c r="AC113" s="21"/>
      <c r="AD113" s="21"/>
      <c r="AE113" s="21"/>
    </row>
    <row r="114" spans="2:31" ht="85.5" customHeight="1" x14ac:dyDescent="0.2">
      <c r="B114" s="24"/>
      <c r="C114" s="24"/>
      <c r="D114" s="24"/>
      <c r="E114" s="24"/>
      <c r="F114" s="24"/>
      <c r="G114" s="24"/>
      <c r="H114" s="24"/>
      <c r="I114" s="24"/>
      <c r="J114" s="24"/>
      <c r="K114" s="24"/>
      <c r="L114" s="24"/>
      <c r="M114" s="24"/>
      <c r="N114" s="25"/>
      <c r="O114" s="25"/>
      <c r="P114" s="25"/>
      <c r="Q114" s="25"/>
      <c r="R114" s="21"/>
      <c r="S114" s="21"/>
      <c r="T114" s="21"/>
      <c r="U114" s="21"/>
      <c r="V114" s="21"/>
      <c r="W114" s="21"/>
      <c r="X114" s="21"/>
      <c r="Y114" s="21"/>
      <c r="Z114" s="21"/>
      <c r="AA114" s="21"/>
      <c r="AB114" s="21"/>
      <c r="AC114" s="21"/>
      <c r="AD114" s="21"/>
      <c r="AE114" s="21"/>
    </row>
    <row r="115" spans="2:31" ht="85.5" customHeight="1" x14ac:dyDescent="0.2">
      <c r="B115" s="24"/>
      <c r="C115" s="24"/>
      <c r="D115" s="24"/>
      <c r="E115" s="24"/>
      <c r="F115" s="24"/>
      <c r="G115" s="24"/>
      <c r="H115" s="24"/>
      <c r="I115" s="24"/>
      <c r="J115" s="24"/>
      <c r="K115" s="24"/>
      <c r="L115" s="24"/>
      <c r="M115" s="24"/>
      <c r="N115" s="25"/>
      <c r="O115" s="25"/>
      <c r="P115" s="25"/>
      <c r="Q115" s="25"/>
      <c r="R115" s="21"/>
      <c r="S115" s="21"/>
      <c r="T115" s="21"/>
      <c r="U115" s="21"/>
      <c r="V115" s="21"/>
      <c r="W115" s="21"/>
      <c r="X115" s="21"/>
      <c r="Y115" s="21"/>
      <c r="Z115" s="21"/>
      <c r="AA115" s="21"/>
      <c r="AB115" s="21"/>
      <c r="AC115" s="21"/>
      <c r="AD115" s="21"/>
      <c r="AE115" s="21"/>
    </row>
  </sheetData>
  <sheetProtection formatCells="0" formatColumns="0" formatRows="0" sort="0" autoFilter="0" pivotTables="0"/>
  <autoFilter ref="A10:BF85"/>
  <mergeCells count="57">
    <mergeCell ref="X9:X10"/>
    <mergeCell ref="Y9:Y10"/>
    <mergeCell ref="T9:T10"/>
    <mergeCell ref="AE8:AE10"/>
    <mergeCell ref="AB9:AB10"/>
    <mergeCell ref="AC9:AC10"/>
    <mergeCell ref="AB8:AD8"/>
    <mergeCell ref="AD9:AD10"/>
    <mergeCell ref="Z9:Z10"/>
    <mergeCell ref="Y8:AA8"/>
    <mergeCell ref="W9:W10"/>
    <mergeCell ref="AA9:AA10"/>
    <mergeCell ref="V8:X8"/>
    <mergeCell ref="A1:C3"/>
    <mergeCell ref="A7:A10"/>
    <mergeCell ref="B7:C7"/>
    <mergeCell ref="B8:B10"/>
    <mergeCell ref="C8:C10"/>
    <mergeCell ref="A5:L5"/>
    <mergeCell ref="A4:L4"/>
    <mergeCell ref="F8:F10"/>
    <mergeCell ref="D8:D10"/>
    <mergeCell ref="A6:R6"/>
    <mergeCell ref="D7:G7"/>
    <mergeCell ref="R9:R10"/>
    <mergeCell ref="S9:S10"/>
    <mergeCell ref="H7:L7"/>
    <mergeCell ref="E8:E10"/>
    <mergeCell ref="P9:P10"/>
    <mergeCell ref="Q9:Q10"/>
    <mergeCell ref="G8:G10"/>
    <mergeCell ref="O9:O10"/>
    <mergeCell ref="H8:H10"/>
    <mergeCell ref="K8:K10"/>
    <mergeCell ref="S8:U8"/>
    <mergeCell ref="N8:N10"/>
    <mergeCell ref="O8:R8"/>
    <mergeCell ref="I8:I10"/>
    <mergeCell ref="M8:M10"/>
    <mergeCell ref="L8:L10"/>
    <mergeCell ref="J8:J10"/>
    <mergeCell ref="AG1:AJ1"/>
    <mergeCell ref="AG2:AJ2"/>
    <mergeCell ref="AG3:AJ3"/>
    <mergeCell ref="AK9:AK10"/>
    <mergeCell ref="AJ9:AJ10"/>
    <mergeCell ref="AI9:AI10"/>
    <mergeCell ref="AI8:AK8"/>
    <mergeCell ref="S6:AG6"/>
    <mergeCell ref="AF7:AG7"/>
    <mergeCell ref="D1:AF3"/>
    <mergeCell ref="AG8:AG10"/>
    <mergeCell ref="M7:R7"/>
    <mergeCell ref="S7:AE7"/>
    <mergeCell ref="AF8:AF10"/>
    <mergeCell ref="V9:V10"/>
    <mergeCell ref="U9:U10"/>
  </mergeCells>
  <phoneticPr fontId="0" type="noConversion"/>
  <conditionalFormatting sqref="AF57:AF58 AF81:AF85">
    <cfRule type="cellIs" dxfId="183" priority="359" stopIfTrue="1" operator="equal">
      <formula>$AK$9</formula>
    </cfRule>
    <cfRule type="cellIs" dxfId="182" priority="360" stopIfTrue="1" operator="equal">
      <formula>$AJ$9</formula>
    </cfRule>
    <cfRule type="cellIs" dxfId="181" priority="361" stopIfTrue="1" operator="equal">
      <formula>$AI$9</formula>
    </cfRule>
  </conditionalFormatting>
  <conditionalFormatting sqref="AF77:AF80">
    <cfRule type="cellIs" dxfId="180" priority="356" stopIfTrue="1" operator="equal">
      <formula>$AK$9</formula>
    </cfRule>
    <cfRule type="cellIs" dxfId="179" priority="357" stopIfTrue="1" operator="equal">
      <formula>$AJ$9</formula>
    </cfRule>
    <cfRule type="cellIs" dxfId="178" priority="358" stopIfTrue="1" operator="equal">
      <formula>$AI$9</formula>
    </cfRule>
  </conditionalFormatting>
  <conditionalFormatting sqref="AF20">
    <cfRule type="cellIs" dxfId="177" priority="353" stopIfTrue="1" operator="equal">
      <formula>$AK$9</formula>
    </cfRule>
    <cfRule type="cellIs" dxfId="176" priority="354" stopIfTrue="1" operator="equal">
      <formula>$AJ$9</formula>
    </cfRule>
    <cfRule type="cellIs" dxfId="175" priority="355" stopIfTrue="1" operator="equal">
      <formula>$AI$9</formula>
    </cfRule>
  </conditionalFormatting>
  <conditionalFormatting sqref="AF21:AF22">
    <cfRule type="cellIs" dxfId="174" priority="350" stopIfTrue="1" operator="equal">
      <formula>$AK$9</formula>
    </cfRule>
    <cfRule type="cellIs" dxfId="173" priority="351" stopIfTrue="1" operator="equal">
      <formula>$AJ$9</formula>
    </cfRule>
    <cfRule type="cellIs" dxfId="172" priority="352" stopIfTrue="1" operator="equal">
      <formula>$AI$9</formula>
    </cfRule>
  </conditionalFormatting>
  <conditionalFormatting sqref="AF23:AF24">
    <cfRule type="cellIs" dxfId="171" priority="347" stopIfTrue="1" operator="equal">
      <formula>$AK$9</formula>
    </cfRule>
    <cfRule type="cellIs" dxfId="170" priority="348" stopIfTrue="1" operator="equal">
      <formula>$AJ$9</formula>
    </cfRule>
    <cfRule type="cellIs" dxfId="169" priority="349" stopIfTrue="1" operator="equal">
      <formula>$AI$9</formula>
    </cfRule>
  </conditionalFormatting>
  <conditionalFormatting sqref="AF25:AF26">
    <cfRule type="cellIs" dxfId="168" priority="344" stopIfTrue="1" operator="equal">
      <formula>$AK$9</formula>
    </cfRule>
    <cfRule type="cellIs" dxfId="167" priority="345" stopIfTrue="1" operator="equal">
      <formula>$AJ$9</formula>
    </cfRule>
    <cfRule type="cellIs" dxfId="166" priority="346" stopIfTrue="1" operator="equal">
      <formula>$AI$9</formula>
    </cfRule>
  </conditionalFormatting>
  <conditionalFormatting sqref="K30">
    <cfRule type="cellIs" dxfId="165" priority="341" stopIfTrue="1" operator="equal">
      <formula>#REF!</formula>
    </cfRule>
    <cfRule type="cellIs" dxfId="164" priority="342" stopIfTrue="1" operator="equal">
      <formula>#REF!</formula>
    </cfRule>
    <cfRule type="cellIs" dxfId="163" priority="343" stopIfTrue="1" operator="equal">
      <formula>#REF!</formula>
    </cfRule>
  </conditionalFormatting>
  <conditionalFormatting sqref="I30:J30">
    <cfRule type="cellIs" dxfId="162" priority="338" stopIfTrue="1" operator="equal">
      <formula>#REF!</formula>
    </cfRule>
    <cfRule type="cellIs" dxfId="161" priority="339" stopIfTrue="1" operator="equal">
      <formula>#REF!</formula>
    </cfRule>
    <cfRule type="cellIs" dxfId="160" priority="340" stopIfTrue="1" operator="equal">
      <formula>#REF!</formula>
    </cfRule>
  </conditionalFormatting>
  <conditionalFormatting sqref="AF27:AF30">
    <cfRule type="cellIs" dxfId="159" priority="335" stopIfTrue="1" operator="equal">
      <formula>$AK$9</formula>
    </cfRule>
    <cfRule type="cellIs" dxfId="158" priority="336" stopIfTrue="1" operator="equal">
      <formula>$AJ$9</formula>
    </cfRule>
    <cfRule type="cellIs" dxfId="157" priority="337" stopIfTrue="1" operator="equal">
      <formula>$AI$9</formula>
    </cfRule>
  </conditionalFormatting>
  <conditionalFormatting sqref="AF59">
    <cfRule type="cellIs" dxfId="156" priority="290" stopIfTrue="1" operator="equal">
      <formula>$AK$9</formula>
    </cfRule>
    <cfRule type="cellIs" dxfId="155" priority="291" stopIfTrue="1" operator="equal">
      <formula>$AJ$9</formula>
    </cfRule>
    <cfRule type="cellIs" dxfId="154" priority="292" stopIfTrue="1" operator="equal">
      <formula>$AI$9</formula>
    </cfRule>
  </conditionalFormatting>
  <conditionalFormatting sqref="AF60:AF65">
    <cfRule type="cellIs" dxfId="153" priority="287" stopIfTrue="1" operator="equal">
      <formula>$AK$9</formula>
    </cfRule>
    <cfRule type="cellIs" dxfId="152" priority="288" stopIfTrue="1" operator="equal">
      <formula>$AJ$9</formula>
    </cfRule>
    <cfRule type="cellIs" dxfId="151" priority="289" stopIfTrue="1" operator="equal">
      <formula>$AI$9</formula>
    </cfRule>
  </conditionalFormatting>
  <conditionalFormatting sqref="AF31:AF33">
    <cfRule type="cellIs" dxfId="150" priority="284" stopIfTrue="1" operator="equal">
      <formula>$AK$9</formula>
    </cfRule>
    <cfRule type="cellIs" dxfId="149" priority="285" stopIfTrue="1" operator="equal">
      <formula>$AJ$9</formula>
    </cfRule>
    <cfRule type="cellIs" dxfId="148" priority="286" stopIfTrue="1" operator="equal">
      <formula>$AI$9</formula>
    </cfRule>
  </conditionalFormatting>
  <conditionalFormatting sqref="AF34">
    <cfRule type="cellIs" dxfId="147" priority="281" stopIfTrue="1" operator="equal">
      <formula>$AK$9</formula>
    </cfRule>
    <cfRule type="cellIs" dxfId="146" priority="282" stopIfTrue="1" operator="equal">
      <formula>$AJ$9</formula>
    </cfRule>
    <cfRule type="cellIs" dxfId="145" priority="283" stopIfTrue="1" operator="equal">
      <formula>$AI$9</formula>
    </cfRule>
  </conditionalFormatting>
  <conditionalFormatting sqref="AF31">
    <cfRule type="cellIs" dxfId="144" priority="280" operator="between">
      <formula>0.8</formula>
      <formula>1</formula>
    </cfRule>
  </conditionalFormatting>
  <conditionalFormatting sqref="AF35">
    <cfRule type="cellIs" dxfId="143" priority="277" stopIfTrue="1" operator="equal">
      <formula>$AK$9</formula>
    </cfRule>
    <cfRule type="cellIs" dxfId="142" priority="278" stopIfTrue="1" operator="equal">
      <formula>$AJ$9</formula>
    </cfRule>
    <cfRule type="cellIs" dxfId="141" priority="279" stopIfTrue="1" operator="equal">
      <formula>$AI$9</formula>
    </cfRule>
  </conditionalFormatting>
  <conditionalFormatting sqref="AI11:AK12">
    <cfRule type="cellIs" dxfId="140" priority="274" stopIfTrue="1" operator="equal">
      <formula>"MINIMO"</formula>
    </cfRule>
    <cfRule type="cellIs" dxfId="139" priority="275" stopIfTrue="1" operator="equal">
      <formula>"ACEPTABLE"</formula>
    </cfRule>
    <cfRule type="cellIs" dxfId="138" priority="276" stopIfTrue="1" operator="equal">
      <formula>"SATISFACTORIO"</formula>
    </cfRule>
  </conditionalFormatting>
  <conditionalFormatting sqref="AF11:AF13">
    <cfRule type="cellIs" dxfId="137" priority="271" stopIfTrue="1" operator="equal">
      <formula>$AK$9</formula>
    </cfRule>
    <cfRule type="cellIs" dxfId="136" priority="272" stopIfTrue="1" operator="equal">
      <formula>$AJ$9</formula>
    </cfRule>
    <cfRule type="cellIs" dxfId="135" priority="273" stopIfTrue="1" operator="equal">
      <formula>$AI$9</formula>
    </cfRule>
  </conditionalFormatting>
  <conditionalFormatting sqref="AF14:AF19">
    <cfRule type="cellIs" dxfId="134" priority="259" stopIfTrue="1" operator="equal">
      <formula>$AK$9</formula>
    </cfRule>
    <cfRule type="cellIs" dxfId="133" priority="260" stopIfTrue="1" operator="equal">
      <formula>$AJ$9</formula>
    </cfRule>
    <cfRule type="cellIs" dxfId="132" priority="261" stopIfTrue="1" operator="equal">
      <formula>$AI$9</formula>
    </cfRule>
  </conditionalFormatting>
  <conditionalFormatting sqref="AF45">
    <cfRule type="containsText" dxfId="131" priority="258" operator="containsText" text="SATISFACTORIO">
      <formula>NOT(ISERROR(SEARCH("SATISFACTORIO",AF45)))</formula>
    </cfRule>
  </conditionalFormatting>
  <conditionalFormatting sqref="AF45">
    <cfRule type="containsText" dxfId="130" priority="256" operator="containsText" text="MÍNIMO">
      <formula>NOT(ISERROR(SEARCH("MÍNIMO",AF45)))</formula>
    </cfRule>
  </conditionalFormatting>
  <conditionalFormatting sqref="AF45">
    <cfRule type="containsText" dxfId="129" priority="257" operator="containsText" text="ACEPTABLE">
      <formula>NOT(ISERROR(SEARCH("ACEPTABLE",AF45)))</formula>
    </cfRule>
  </conditionalFormatting>
  <conditionalFormatting sqref="AF46:AF49">
    <cfRule type="containsText" dxfId="128" priority="255" operator="containsText" text="SATISFACTORIO">
      <formula>NOT(ISERROR(SEARCH("SATISFACTORIO",AF46)))</formula>
    </cfRule>
  </conditionalFormatting>
  <conditionalFormatting sqref="AF46:AF49">
    <cfRule type="containsText" dxfId="127" priority="253" operator="containsText" text="MÍNIMO">
      <formula>NOT(ISERROR(SEARCH("MÍNIMO",AF46)))</formula>
    </cfRule>
  </conditionalFormatting>
  <conditionalFormatting sqref="AF46:AF49">
    <cfRule type="containsText" dxfId="126" priority="254" operator="containsText" text="ACEPTABLE">
      <formula>NOT(ISERROR(SEARCH("ACEPTABLE",AF46)))</formula>
    </cfRule>
  </conditionalFormatting>
  <conditionalFormatting sqref="AF50:AF55">
    <cfRule type="containsText" dxfId="125" priority="252" operator="containsText" text="SATISFACTORIO">
      <formula>NOT(ISERROR(SEARCH("SATISFACTORIO",AF50)))</formula>
    </cfRule>
  </conditionalFormatting>
  <conditionalFormatting sqref="AF50:AF55">
    <cfRule type="containsText" dxfId="124" priority="250" operator="containsText" text="MÍNIMO">
      <formula>NOT(ISERROR(SEARCH("MÍNIMO",AF50)))</formula>
    </cfRule>
  </conditionalFormatting>
  <conditionalFormatting sqref="AF50:AF55">
    <cfRule type="containsText" dxfId="123" priority="251" operator="containsText" text="ACEPTABLE">
      <formula>NOT(ISERROR(SEARCH("ACEPTABLE",AF50)))</formula>
    </cfRule>
  </conditionalFormatting>
  <conditionalFormatting sqref="AF56">
    <cfRule type="containsText" dxfId="122" priority="249" operator="containsText" text="SATISFACTORIO">
      <formula>NOT(ISERROR(SEARCH("SATISFACTORIO",AF56)))</formula>
    </cfRule>
  </conditionalFormatting>
  <conditionalFormatting sqref="AF56">
    <cfRule type="containsText" dxfId="121" priority="247" operator="containsText" text="MÍNIMO">
      <formula>NOT(ISERROR(SEARCH("MÍNIMO",AF56)))</formula>
    </cfRule>
  </conditionalFormatting>
  <conditionalFormatting sqref="AF56">
    <cfRule type="containsText" dxfId="120" priority="248" operator="containsText" text="ACEPTABLE">
      <formula>NOT(ISERROR(SEARCH("ACEPTABLE",AF56)))</formula>
    </cfRule>
  </conditionalFormatting>
  <conditionalFormatting sqref="AI56:AK56">
    <cfRule type="cellIs" dxfId="119" priority="121" stopIfTrue="1" operator="equal">
      <formula>"MINIMO"</formula>
    </cfRule>
    <cfRule type="cellIs" dxfId="118" priority="122" stopIfTrue="1" operator="equal">
      <formula>"ACEPTABLE"</formula>
    </cfRule>
    <cfRule type="cellIs" dxfId="117" priority="123" stopIfTrue="1" operator="equal">
      <formula>"SATISFACTORIO"</formula>
    </cfRule>
  </conditionalFormatting>
  <conditionalFormatting sqref="AI49:AK51">
    <cfRule type="cellIs" dxfId="116" priority="118" stopIfTrue="1" operator="equal">
      <formula>"MINIMO"</formula>
    </cfRule>
    <cfRule type="cellIs" dxfId="115" priority="119" stopIfTrue="1" operator="equal">
      <formula>"ACEPTABLE"</formula>
    </cfRule>
    <cfRule type="cellIs" dxfId="114" priority="120" stopIfTrue="1" operator="equal">
      <formula>"SATISFACTORIO"</formula>
    </cfRule>
  </conditionalFormatting>
  <conditionalFormatting sqref="I70">
    <cfRule type="cellIs" dxfId="113" priority="114" stopIfTrue="1" operator="equal">
      <formula>#REF!</formula>
    </cfRule>
    <cfRule type="cellIs" dxfId="112" priority="115" stopIfTrue="1" operator="equal">
      <formula>#REF!</formula>
    </cfRule>
    <cfRule type="cellIs" dxfId="111" priority="116" stopIfTrue="1" operator="equal">
      <formula>#REF!</formula>
    </cfRule>
  </conditionalFormatting>
  <conditionalFormatting sqref="K71:K76">
    <cfRule type="cellIs" dxfId="110" priority="111" stopIfTrue="1" operator="equal">
      <formula>#REF!</formula>
    </cfRule>
    <cfRule type="cellIs" dxfId="109" priority="112" stopIfTrue="1" operator="equal">
      <formula>#REF!</formula>
    </cfRule>
    <cfRule type="cellIs" dxfId="108" priority="113" stopIfTrue="1" operator="equal">
      <formula>#REF!</formula>
    </cfRule>
  </conditionalFormatting>
  <conditionalFormatting sqref="I73:J73">
    <cfRule type="cellIs" dxfId="107" priority="108" stopIfTrue="1" operator="equal">
      <formula>#REF!</formula>
    </cfRule>
    <cfRule type="cellIs" dxfId="106" priority="109" stopIfTrue="1" operator="equal">
      <formula>#REF!</formula>
    </cfRule>
    <cfRule type="cellIs" dxfId="105" priority="110" stopIfTrue="1" operator="equal">
      <formula>#REF!</formula>
    </cfRule>
  </conditionalFormatting>
  <conditionalFormatting sqref="AD73 X73 U73 AA73">
    <cfRule type="cellIs" dxfId="104" priority="106" stopIfTrue="1" operator="greaterThan">
      <formula>6</formula>
    </cfRule>
    <cfRule type="cellIs" dxfId="103" priority="107" stopIfTrue="1" operator="lessThanOrEqual">
      <formula>6</formula>
    </cfRule>
  </conditionalFormatting>
  <conditionalFormatting sqref="AD73 X73 U73 AA73">
    <cfRule type="cellIs" dxfId="102" priority="105" stopIfTrue="1" operator="greaterThan">
      <formula>7</formula>
    </cfRule>
  </conditionalFormatting>
  <conditionalFormatting sqref="AD73">
    <cfRule type="expression" dxfId="101" priority="104" stopIfTrue="1">
      <formula>$AB$13=""</formula>
    </cfRule>
  </conditionalFormatting>
  <conditionalFormatting sqref="AD75">
    <cfRule type="cellIs" dxfId="100" priority="101" stopIfTrue="1" operator="lessThan">
      <formula>0.8</formula>
    </cfRule>
    <cfRule type="cellIs" dxfId="99" priority="102" stopIfTrue="1" operator="greaterThanOrEqual">
      <formula>0.9</formula>
    </cfRule>
    <cfRule type="cellIs" dxfId="98" priority="103" stopIfTrue="1" operator="greaterThanOrEqual">
      <formula>0.8</formula>
    </cfRule>
  </conditionalFormatting>
  <conditionalFormatting sqref="AA73">
    <cfRule type="expression" dxfId="97" priority="100" stopIfTrue="1">
      <formula>$Y$13=""</formula>
    </cfRule>
  </conditionalFormatting>
  <conditionalFormatting sqref="AA75">
    <cfRule type="cellIs" dxfId="96" priority="97" stopIfTrue="1" operator="lessThan">
      <formula>0.8</formula>
    </cfRule>
    <cfRule type="cellIs" dxfId="95" priority="98" stopIfTrue="1" operator="greaterThanOrEqual">
      <formula>0.9</formula>
    </cfRule>
    <cfRule type="cellIs" dxfId="94" priority="99" stopIfTrue="1" operator="greaterThanOrEqual">
      <formula>0.8</formula>
    </cfRule>
  </conditionalFormatting>
  <conditionalFormatting sqref="AA75">
    <cfRule type="expression" dxfId="93" priority="96" stopIfTrue="1">
      <formula>$Y$15=""</formula>
    </cfRule>
  </conditionalFormatting>
  <conditionalFormatting sqref="X71:X72">
    <cfRule type="expression" dxfId="92" priority="92" stopIfTrue="1">
      <formula>$V$11=""</formula>
    </cfRule>
    <cfRule type="cellIs" dxfId="91" priority="93" stopIfTrue="1" operator="lessThan">
      <formula>0.7</formula>
    </cfRule>
    <cfRule type="cellIs" dxfId="90" priority="94" stopIfTrue="1" operator="greaterThanOrEqual">
      <formula>0.9</formula>
    </cfRule>
    <cfRule type="cellIs" dxfId="89" priority="95" stopIfTrue="1" operator="greaterThanOrEqual">
      <formula>0.7</formula>
    </cfRule>
  </conditionalFormatting>
  <conditionalFormatting sqref="X73">
    <cfRule type="expression" dxfId="88" priority="91" stopIfTrue="1">
      <formula>$V$13=""</formula>
    </cfRule>
  </conditionalFormatting>
  <conditionalFormatting sqref="X74">
    <cfRule type="expression" dxfId="87" priority="87" stopIfTrue="1">
      <formula>$V$14=""</formula>
    </cfRule>
    <cfRule type="cellIs" dxfId="86" priority="88" stopIfTrue="1" operator="lessThan">
      <formula>0.7</formula>
    </cfRule>
    <cfRule type="cellIs" dxfId="85" priority="89" stopIfTrue="1" operator="greaterThanOrEqual">
      <formula>0.9</formula>
    </cfRule>
    <cfRule type="cellIs" dxfId="84" priority="90" stopIfTrue="1" operator="greaterThanOrEqual">
      <formula>0.7</formula>
    </cfRule>
  </conditionalFormatting>
  <conditionalFormatting sqref="X75:X76">
    <cfRule type="cellIs" dxfId="83" priority="84" stopIfTrue="1" operator="lessThan">
      <formula>0.8</formula>
    </cfRule>
    <cfRule type="cellIs" dxfId="82" priority="85" stopIfTrue="1" operator="greaterThanOrEqual">
      <formula>0.9</formula>
    </cfRule>
    <cfRule type="cellIs" dxfId="81" priority="86" stopIfTrue="1" operator="greaterThanOrEqual">
      <formula>0.8</formula>
    </cfRule>
  </conditionalFormatting>
  <conditionalFormatting sqref="X75">
    <cfRule type="expression" dxfId="80" priority="83" stopIfTrue="1">
      <formula>$V$15=""</formula>
    </cfRule>
  </conditionalFormatting>
  <conditionalFormatting sqref="X76">
    <cfRule type="expression" dxfId="79" priority="82" stopIfTrue="1">
      <formula>$V$16=""</formula>
    </cfRule>
  </conditionalFormatting>
  <conditionalFormatting sqref="U71:U72">
    <cfRule type="expression" dxfId="78" priority="78" stopIfTrue="1">
      <formula>$S$11=""</formula>
    </cfRule>
    <cfRule type="cellIs" dxfId="77" priority="79" stopIfTrue="1" operator="lessThan">
      <formula>0.7</formula>
    </cfRule>
    <cfRule type="cellIs" dxfId="76" priority="80" stopIfTrue="1" operator="greaterThanOrEqual">
      <formula>0.9</formula>
    </cfRule>
    <cfRule type="cellIs" dxfId="75" priority="81" stopIfTrue="1" operator="greaterThanOrEqual">
      <formula>0.7</formula>
    </cfRule>
  </conditionalFormatting>
  <conditionalFormatting sqref="U73">
    <cfRule type="expression" dxfId="74" priority="77" stopIfTrue="1">
      <formula>$S$13=""</formula>
    </cfRule>
  </conditionalFormatting>
  <conditionalFormatting sqref="U74">
    <cfRule type="expression" dxfId="73" priority="73" stopIfTrue="1">
      <formula>$S$14=""</formula>
    </cfRule>
    <cfRule type="cellIs" dxfId="72" priority="74" stopIfTrue="1" operator="lessThan">
      <formula>0.7</formula>
    </cfRule>
    <cfRule type="cellIs" dxfId="71" priority="75" stopIfTrue="1" operator="greaterThanOrEqual">
      <formula>0.9</formula>
    </cfRule>
    <cfRule type="cellIs" dxfId="70" priority="76" stopIfTrue="1" operator="greaterThanOrEqual">
      <formula>0.7</formula>
    </cfRule>
  </conditionalFormatting>
  <conditionalFormatting sqref="U75:U76">
    <cfRule type="cellIs" dxfId="69" priority="70" stopIfTrue="1" operator="lessThan">
      <formula>0.8</formula>
    </cfRule>
    <cfRule type="cellIs" dxfId="68" priority="71" stopIfTrue="1" operator="greaterThanOrEqual">
      <formula>0.9</formula>
    </cfRule>
    <cfRule type="cellIs" dxfId="67" priority="72" stopIfTrue="1" operator="greaterThanOrEqual">
      <formula>0.8</formula>
    </cfRule>
  </conditionalFormatting>
  <conditionalFormatting sqref="U76">
    <cfRule type="expression" dxfId="66" priority="68" stopIfTrue="1">
      <formula>$V$16=""</formula>
    </cfRule>
  </conditionalFormatting>
  <conditionalFormatting sqref="U75">
    <cfRule type="expression" dxfId="65" priority="69" stopIfTrue="1">
      <formula>$V$15=""</formula>
    </cfRule>
  </conditionalFormatting>
  <conditionalFormatting sqref="AA73">
    <cfRule type="expression" dxfId="64" priority="67" stopIfTrue="1">
      <formula>$V$13=""</formula>
    </cfRule>
  </conditionalFormatting>
  <conditionalFormatting sqref="AD71">
    <cfRule type="expression" dxfId="63" priority="63" stopIfTrue="1">
      <formula>$AB$11=""</formula>
    </cfRule>
    <cfRule type="cellIs" dxfId="62" priority="64" stopIfTrue="1" operator="lessThan">
      <formula>0.7</formula>
    </cfRule>
    <cfRule type="cellIs" dxfId="61" priority="65" stopIfTrue="1" operator="greaterThanOrEqual">
      <formula>0.9</formula>
    </cfRule>
    <cfRule type="cellIs" dxfId="60" priority="66" stopIfTrue="1" operator="greaterThanOrEqual">
      <formula>0.7</formula>
    </cfRule>
  </conditionalFormatting>
  <conditionalFormatting sqref="AD72">
    <cfRule type="expression" dxfId="59" priority="59" stopIfTrue="1">
      <formula>$AB$11=""</formula>
    </cfRule>
    <cfRule type="cellIs" dxfId="58" priority="60" stopIfTrue="1" operator="lessThan">
      <formula>0.7</formula>
    </cfRule>
    <cfRule type="cellIs" dxfId="57" priority="61" stopIfTrue="1" operator="greaterThanOrEqual">
      <formula>0.9</formula>
    </cfRule>
    <cfRule type="cellIs" dxfId="56" priority="62" stopIfTrue="1" operator="greaterThanOrEqual">
      <formula>0.7</formula>
    </cfRule>
  </conditionalFormatting>
  <conditionalFormatting sqref="AD74">
    <cfRule type="expression" dxfId="55" priority="55" stopIfTrue="1">
      <formula>$AB$11=""</formula>
    </cfRule>
    <cfRule type="cellIs" dxfId="54" priority="56" stopIfTrue="1" operator="lessThan">
      <formula>0.7</formula>
    </cfRule>
    <cfRule type="cellIs" dxfId="53" priority="57" stopIfTrue="1" operator="greaterThanOrEqual">
      <formula>0.9</formula>
    </cfRule>
    <cfRule type="cellIs" dxfId="52" priority="58" stopIfTrue="1" operator="greaterThanOrEqual">
      <formula>0.7</formula>
    </cfRule>
  </conditionalFormatting>
  <conditionalFormatting sqref="X76">
    <cfRule type="expression" dxfId="51" priority="54" stopIfTrue="1">
      <formula>$V$15=""</formula>
    </cfRule>
  </conditionalFormatting>
  <conditionalFormatting sqref="AD75">
    <cfRule type="expression" dxfId="50" priority="117" stopIfTrue="1">
      <formula>$AC$15=""</formula>
    </cfRule>
  </conditionalFormatting>
  <conditionalFormatting sqref="AF66">
    <cfRule type="cellIs" dxfId="49" priority="51" stopIfTrue="1" operator="equal">
      <formula>$AK$9</formula>
    </cfRule>
    <cfRule type="cellIs" dxfId="48" priority="52" stopIfTrue="1" operator="equal">
      <formula>$AJ$9</formula>
    </cfRule>
    <cfRule type="cellIs" dxfId="47" priority="53" stopIfTrue="1" operator="equal">
      <formula>$AI$9</formula>
    </cfRule>
  </conditionalFormatting>
  <conditionalFormatting sqref="AF67">
    <cfRule type="cellIs" dxfId="46" priority="48" stopIfTrue="1" operator="equal">
      <formula>$AK$9</formula>
    </cfRule>
    <cfRule type="cellIs" dxfId="45" priority="49" stopIfTrue="1" operator="equal">
      <formula>$AJ$9</formula>
    </cfRule>
    <cfRule type="cellIs" dxfId="44" priority="50" stopIfTrue="1" operator="equal">
      <formula>$AI$9</formula>
    </cfRule>
  </conditionalFormatting>
  <conditionalFormatting sqref="AF68">
    <cfRule type="cellIs" dxfId="43" priority="45" stopIfTrue="1" operator="equal">
      <formula>$AK$9</formula>
    </cfRule>
    <cfRule type="cellIs" dxfId="42" priority="46" stopIfTrue="1" operator="equal">
      <formula>$AJ$9</formula>
    </cfRule>
    <cfRule type="cellIs" dxfId="41" priority="47" stopIfTrue="1" operator="equal">
      <formula>$AI$9</formula>
    </cfRule>
  </conditionalFormatting>
  <conditionalFormatting sqref="AF69">
    <cfRule type="cellIs" dxfId="40" priority="42" stopIfTrue="1" operator="equal">
      <formula>$AK$9</formula>
    </cfRule>
    <cfRule type="cellIs" dxfId="39" priority="43" stopIfTrue="1" operator="equal">
      <formula>$AJ$9</formula>
    </cfRule>
    <cfRule type="cellIs" dxfId="38" priority="44" stopIfTrue="1" operator="equal">
      <formula>$AI$9</formula>
    </cfRule>
  </conditionalFormatting>
  <conditionalFormatting sqref="AF70">
    <cfRule type="cellIs" dxfId="37" priority="39" stopIfTrue="1" operator="equal">
      <formula>$AK$9</formula>
    </cfRule>
    <cfRule type="cellIs" dxfId="36" priority="40" stopIfTrue="1" operator="equal">
      <formula>$AJ$9</formula>
    </cfRule>
    <cfRule type="cellIs" dxfId="35" priority="41" stopIfTrue="1" operator="equal">
      <formula>$AI$9</formula>
    </cfRule>
  </conditionalFormatting>
  <conditionalFormatting sqref="AF71">
    <cfRule type="cellIs" dxfId="34" priority="36" stopIfTrue="1" operator="equal">
      <formula>$AK$9</formula>
    </cfRule>
    <cfRule type="cellIs" dxfId="33" priority="37" stopIfTrue="1" operator="equal">
      <formula>$AJ$9</formula>
    </cfRule>
    <cfRule type="cellIs" dxfId="32" priority="38" stopIfTrue="1" operator="equal">
      <formula>$AI$9</formula>
    </cfRule>
  </conditionalFormatting>
  <conditionalFormatting sqref="AF72">
    <cfRule type="cellIs" dxfId="31" priority="33" stopIfTrue="1" operator="equal">
      <formula>$AK$9</formula>
    </cfRule>
    <cfRule type="cellIs" dxfId="30" priority="34" stopIfTrue="1" operator="equal">
      <formula>$AJ$9</formula>
    </cfRule>
    <cfRule type="cellIs" dxfId="29" priority="35" stopIfTrue="1" operator="equal">
      <formula>$AI$9</formula>
    </cfRule>
  </conditionalFormatting>
  <conditionalFormatting sqref="AF73">
    <cfRule type="cellIs" dxfId="28" priority="30" stopIfTrue="1" operator="equal">
      <formula>$AK$9</formula>
    </cfRule>
    <cfRule type="cellIs" dxfId="27" priority="31" stopIfTrue="1" operator="equal">
      <formula>$AJ$9</formula>
    </cfRule>
    <cfRule type="cellIs" dxfId="26" priority="32" stopIfTrue="1" operator="equal">
      <formula>$AI$9</formula>
    </cfRule>
  </conditionalFormatting>
  <conditionalFormatting sqref="AF75">
    <cfRule type="cellIs" dxfId="25" priority="27" stopIfTrue="1" operator="equal">
      <formula>$AK$9</formula>
    </cfRule>
    <cfRule type="cellIs" dxfId="24" priority="28" stopIfTrue="1" operator="equal">
      <formula>$AJ$9</formula>
    </cfRule>
    <cfRule type="cellIs" dxfId="23" priority="29" stopIfTrue="1" operator="equal">
      <formula>$AI$9</formula>
    </cfRule>
  </conditionalFormatting>
  <conditionalFormatting sqref="AF76">
    <cfRule type="cellIs" dxfId="22" priority="24" stopIfTrue="1" operator="equal">
      <formula>$AK$9</formula>
    </cfRule>
    <cfRule type="cellIs" dxfId="21" priority="25" stopIfTrue="1" operator="equal">
      <formula>$AJ$9</formula>
    </cfRule>
    <cfRule type="cellIs" dxfId="20" priority="26" stopIfTrue="1" operator="equal">
      <formula>$AI$9</formula>
    </cfRule>
  </conditionalFormatting>
  <conditionalFormatting sqref="AF74">
    <cfRule type="cellIs" dxfId="19" priority="21" stopIfTrue="1" operator="equal">
      <formula>$AK$9</formula>
    </cfRule>
    <cfRule type="cellIs" dxfId="18" priority="22" stopIfTrue="1" operator="equal">
      <formula>$AJ$9</formula>
    </cfRule>
    <cfRule type="cellIs" dxfId="17" priority="23" stopIfTrue="1" operator="equal">
      <formula>$AI$9</formula>
    </cfRule>
  </conditionalFormatting>
  <conditionalFormatting sqref="AA76">
    <cfRule type="cellIs" dxfId="16" priority="18" stopIfTrue="1" operator="lessThan">
      <formula>0.8</formula>
    </cfRule>
    <cfRule type="cellIs" dxfId="15" priority="19" stopIfTrue="1" operator="greaterThanOrEqual">
      <formula>0.9</formula>
    </cfRule>
    <cfRule type="cellIs" dxfId="14" priority="20" stopIfTrue="1" operator="greaterThanOrEqual">
      <formula>0.8</formula>
    </cfRule>
  </conditionalFormatting>
  <conditionalFormatting sqref="AA76">
    <cfRule type="expression" dxfId="13" priority="17" stopIfTrue="1">
      <formula>$Y$15=""</formula>
    </cfRule>
  </conditionalFormatting>
  <conditionalFormatting sqref="AD76">
    <cfRule type="cellIs" dxfId="12" priority="13" stopIfTrue="1" operator="lessThan">
      <formula>0.8</formula>
    </cfRule>
    <cfRule type="cellIs" dxfId="11" priority="14" stopIfTrue="1" operator="greaterThanOrEqual">
      <formula>0.9</formula>
    </cfRule>
    <cfRule type="cellIs" dxfId="10" priority="15" stopIfTrue="1" operator="greaterThanOrEqual">
      <formula>0.8</formula>
    </cfRule>
  </conditionalFormatting>
  <conditionalFormatting sqref="AD76">
    <cfRule type="expression" dxfId="9" priority="16" stopIfTrue="1">
      <formula>$AC$15=""</formula>
    </cfRule>
  </conditionalFormatting>
  <conditionalFormatting sqref="AF36:AF38">
    <cfRule type="containsText" dxfId="8" priority="12" operator="containsText" text="SATISFACTORIO">
      <formula>NOT(ISERROR(SEARCH("SATISFACTORIO",AF36)))</formula>
    </cfRule>
  </conditionalFormatting>
  <conditionalFormatting sqref="AF36:AF38">
    <cfRule type="containsText" dxfId="7" priority="10" operator="containsText" text="MÍNIMO">
      <formula>NOT(ISERROR(SEARCH("MÍNIMO",AF36)))</formula>
    </cfRule>
  </conditionalFormatting>
  <conditionalFormatting sqref="AF36:AF38">
    <cfRule type="containsText" dxfId="6" priority="11" operator="containsText" text="ACEPTABLE">
      <formula>NOT(ISERROR(SEARCH("ACEPTABLE",AF36)))</formula>
    </cfRule>
  </conditionalFormatting>
  <conditionalFormatting sqref="AF39:AF41 AF43:AF44">
    <cfRule type="containsText" dxfId="5" priority="9" operator="containsText" text="SATISFACTORIO">
      <formula>NOT(ISERROR(SEARCH("SATISFACTORIO",AF39)))</formula>
    </cfRule>
  </conditionalFormatting>
  <conditionalFormatting sqref="AF39:AF41 AF43:AF44">
    <cfRule type="containsText" dxfId="4" priority="7" operator="containsText" text="MÍNIMO">
      <formula>NOT(ISERROR(SEARCH("MÍNIMO",AF39)))</formula>
    </cfRule>
  </conditionalFormatting>
  <conditionalFormatting sqref="AF39:AF41 AF43:AF44">
    <cfRule type="containsText" dxfId="3" priority="8" operator="containsText" text="ACEPTABLE">
      <formula>NOT(ISERROR(SEARCH("ACEPTABLE",AF39)))</formula>
    </cfRule>
  </conditionalFormatting>
  <conditionalFormatting sqref="AF42">
    <cfRule type="containsText" dxfId="2" priority="3" operator="containsText" text="SATISFACTORIO">
      <formula>NOT(ISERROR(SEARCH("SATISFACTORIO",AF42)))</formula>
    </cfRule>
  </conditionalFormatting>
  <conditionalFormatting sqref="AF42">
    <cfRule type="containsText" dxfId="1" priority="1" operator="containsText" text="MÍNIMO">
      <formula>NOT(ISERROR(SEARCH("MÍNIMO",AF42)))</formula>
    </cfRule>
  </conditionalFormatting>
  <conditionalFormatting sqref="AF42">
    <cfRule type="containsText" dxfId="0" priority="2" operator="containsText" text="ACEPTABLE">
      <formula>NOT(ISERROR(SEARCH("ACEPTABLE",AF42)))</formula>
    </cfRule>
  </conditionalFormatting>
  <dataValidations count="5">
    <dataValidation type="list" allowBlank="1" showInputMessage="1" showErrorMessage="1" sqref="H57:H58 WVP19 H54 H19:H30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H35:H51 H66:H85">
      <formula1>$AI$4:$AI$6</formula1>
    </dataValidation>
    <dataValidation type="list" allowBlank="1" showInputMessage="1" showErrorMessage="1" sqref="H55">
      <formula1>#REF!</formula1>
    </dataValidation>
    <dataValidation type="list" allowBlank="1" showInputMessage="1" showErrorMessage="1" sqref="H56 H52:H53">
      <formula1>$AH$4:$AH$6</formula1>
    </dataValidation>
    <dataValidation type="list" allowBlank="1" showInputMessage="1" showErrorMessage="1" sqref="H59:H65">
      <formula1>#REF!</formula1>
    </dataValidation>
    <dataValidation type="list" allowBlank="1" showInputMessage="1" showErrorMessage="1" sqref="H11:H13">
      <formula1>$AI$5:$AI$6</formula1>
    </dataValidation>
  </dataValidations>
  <printOptions horizontalCentered="1" verticalCentered="1"/>
  <pageMargins left="0.9055118110236221" right="0.19685039370078741" top="0.55118110236220474" bottom="0.39370078740157483" header="0" footer="0"/>
  <pageSetup paperSize="5" scale="46" orientation="landscape" horizontalDpi="4294967294" verticalDpi="4294967295" r:id="rId1"/>
  <headerFooter alignWithMargins="0"/>
  <colBreaks count="1" manualBreakCount="1">
    <brk id="33"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cump obj</vt:lpstr>
      <vt:lpstr>PLAN DE ACCION </vt:lpstr>
      <vt:lpstr>'PLAN DE ACCION '!Área_de_impresión</vt:lpstr>
      <vt:lpstr>'PLAN DE ACCION '!Títulos_a_imprimir</vt:lpstr>
    </vt:vector>
  </TitlesOfParts>
  <Company>SSPD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CPBALAGU</dc:creator>
  <cp:lastModifiedBy>CLAUDIA  PEDRAZA ALDANA</cp:lastModifiedBy>
  <cp:lastPrinted>2018-01-25T17:47:40Z</cp:lastPrinted>
  <dcterms:created xsi:type="dcterms:W3CDTF">2004-03-09T16:42:53Z</dcterms:created>
  <dcterms:modified xsi:type="dcterms:W3CDTF">2018-02-14T22:30:57Z</dcterms:modified>
</cp:coreProperties>
</file>